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3.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drawings/drawing4.xml" ContentType="application/vnd.openxmlformats-officedocument.drawing+xml"/>
  <Override PartName="/xl/charts/chart29.xml" ContentType="application/vnd.openxmlformats-officedocument.drawingml.chart+xml"/>
  <Override PartName="/xl/charts/style25.xml" ContentType="application/vnd.ms-office.chartstyle+xml"/>
  <Override PartName="/xl/charts/colors25.xml" ContentType="application/vnd.ms-office.chartcolorstyle+xml"/>
  <Override PartName="/xl/charts/chart30.xml" ContentType="application/vnd.openxmlformats-officedocument.drawingml.chart+xml"/>
  <Override PartName="/xl/charts/style26.xml" ContentType="application/vnd.ms-office.chartstyle+xml"/>
  <Override PartName="/xl/charts/colors26.xml" ContentType="application/vnd.ms-office.chartcolorstyle+xml"/>
  <Override PartName="/xl/charts/chart31.xml" ContentType="application/vnd.openxmlformats-officedocument.drawingml.chart+xml"/>
  <Override PartName="/xl/charts/style27.xml" ContentType="application/vnd.ms-office.chartstyle+xml"/>
  <Override PartName="/xl/charts/colors2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24226"/>
  <mc:AlternateContent xmlns:mc="http://schemas.openxmlformats.org/markup-compatibility/2006">
    <mc:Choice Requires="x15">
      <x15ac:absPath xmlns:x15ac="http://schemas.microsoft.com/office/spreadsheetml/2010/11/ac" url="D:\"/>
    </mc:Choice>
  </mc:AlternateContent>
  <xr:revisionPtr revIDLastSave="0" documentId="13_ncr:1_{3D0A34B6-2527-4792-87EE-DA2CAFCEFC57}" xr6:coauthVersionLast="47" xr6:coauthVersionMax="47" xr10:uidLastSave="{00000000-0000-0000-0000-000000000000}"/>
  <bookViews>
    <workbookView xWindow="-120" yWindow="-120" windowWidth="29040" windowHeight="15840" firstSheet="2" activeTab="7" xr2:uid="{00000000-000D-0000-FFFF-FFFF00000000}"/>
  </bookViews>
  <sheets>
    <sheet name="Menus déroulants" sheetId="16" state="hidden" r:id="rId1"/>
    <sheet name="Guide d'utilisation" sheetId="15" r:id="rId2"/>
    <sheet name="Périmètre" sheetId="14" r:id="rId3"/>
    <sheet name="Traçabilité et info patient" sheetId="18" r:id="rId4"/>
    <sheet name="Données patients" sheetId="20" r:id="rId5"/>
    <sheet name="Feuil1" sheetId="22" state="hidden" r:id="rId6"/>
    <sheet name="Données SI ES" sheetId="19" r:id="rId7"/>
    <sheet name="Données croisées" sheetId="21" r:id="rId8"/>
    <sheet name="Plan d'actions" sheetId="10" r:id="rId9"/>
  </sheets>
  <definedNames>
    <definedName name="_xlnm._FilterDatabase" localSheetId="7" hidden="1">'Données croisées'!$A$6:$G$36</definedName>
    <definedName name="Tranche_âge">'Menus déroulants'!$F$2:$F$8</definedName>
    <definedName name="_xlnm.Print_Area" localSheetId="7">'Données croisées'!$A$4:$H$36</definedName>
    <definedName name="_xlnm.Print_Area" localSheetId="4">'Données patients'!$A$1:$N$268</definedName>
    <definedName name="_xlnm.Print_Area" localSheetId="6">'Données SI ES'!$A$1:$J$67</definedName>
    <definedName name="_xlnm.Print_Area" localSheetId="1">'Guide d''utilisation'!$A$1:$A$8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5" i="21" l="1"/>
  <c r="F105" i="21"/>
  <c r="E106" i="21"/>
  <c r="S102" i="21" s="1"/>
  <c r="F106" i="21"/>
  <c r="T102" i="21" s="1"/>
  <c r="E107" i="21"/>
  <c r="F107" i="21"/>
  <c r="T103" i="21" s="1"/>
  <c r="E108" i="21"/>
  <c r="F108" i="21"/>
  <c r="E109" i="21"/>
  <c r="F109" i="21"/>
  <c r="E110" i="21"/>
  <c r="F110" i="21"/>
  <c r="E111" i="21"/>
  <c r="F111" i="21"/>
  <c r="E112" i="21"/>
  <c r="F112" i="21"/>
  <c r="E113" i="21"/>
  <c r="F113" i="21"/>
  <c r="E114" i="21"/>
  <c r="F114" i="21"/>
  <c r="E115" i="21"/>
  <c r="F115" i="21"/>
  <c r="E116" i="21"/>
  <c r="F116" i="21"/>
  <c r="E117" i="21"/>
  <c r="F117" i="21"/>
  <c r="E118" i="21"/>
  <c r="F118" i="21"/>
  <c r="E119" i="21"/>
  <c r="F119" i="21"/>
  <c r="E120" i="21"/>
  <c r="F120" i="21"/>
  <c r="E121" i="21"/>
  <c r="F121" i="21"/>
  <c r="E122" i="21"/>
  <c r="F122" i="21"/>
  <c r="E123" i="21"/>
  <c r="F123" i="21"/>
  <c r="E124" i="21"/>
  <c r="F124" i="21"/>
  <c r="E125" i="21"/>
  <c r="F125" i="21"/>
  <c r="E126" i="21"/>
  <c r="F126" i="21"/>
  <c r="E127" i="21"/>
  <c r="F127" i="21"/>
  <c r="E128" i="21"/>
  <c r="F128" i="21"/>
  <c r="E129" i="21"/>
  <c r="F129" i="21"/>
  <c r="E130" i="21"/>
  <c r="F130" i="21"/>
  <c r="E131" i="21"/>
  <c r="F131" i="21"/>
  <c r="E132" i="21"/>
  <c r="F132" i="21"/>
  <c r="E133" i="21"/>
  <c r="F133" i="21"/>
  <c r="E104" i="21"/>
  <c r="F104" i="21"/>
  <c r="D133" i="21"/>
  <c r="C133" i="21"/>
  <c r="B133" i="21"/>
  <c r="D132" i="21"/>
  <c r="C132" i="21"/>
  <c r="B132" i="21"/>
  <c r="D131" i="21"/>
  <c r="C131" i="21"/>
  <c r="B131" i="21"/>
  <c r="D130" i="21"/>
  <c r="C130" i="21"/>
  <c r="B130" i="21"/>
  <c r="D129" i="21"/>
  <c r="C129" i="21"/>
  <c r="B129" i="21"/>
  <c r="D128" i="21"/>
  <c r="C128" i="21"/>
  <c r="B128" i="21"/>
  <c r="D127" i="21"/>
  <c r="C127" i="21"/>
  <c r="B127" i="21"/>
  <c r="D126" i="21"/>
  <c r="C126" i="21"/>
  <c r="B126" i="21"/>
  <c r="D125" i="21"/>
  <c r="C125" i="21"/>
  <c r="B125" i="21"/>
  <c r="D124" i="21"/>
  <c r="C124" i="21"/>
  <c r="B124" i="21"/>
  <c r="D123" i="21"/>
  <c r="C123" i="21"/>
  <c r="B123" i="21"/>
  <c r="D122" i="21"/>
  <c r="C122" i="21"/>
  <c r="B122" i="21"/>
  <c r="D121" i="21"/>
  <c r="C121" i="21"/>
  <c r="B121" i="21"/>
  <c r="D120" i="21"/>
  <c r="C120" i="21"/>
  <c r="B120" i="21"/>
  <c r="D119" i="21"/>
  <c r="C119" i="21"/>
  <c r="B119" i="21"/>
  <c r="D118" i="21"/>
  <c r="C118" i="21"/>
  <c r="B118" i="21"/>
  <c r="D117" i="21"/>
  <c r="C117" i="21"/>
  <c r="B117" i="21"/>
  <c r="D116" i="21"/>
  <c r="C116" i="21"/>
  <c r="B116" i="21"/>
  <c r="D115" i="21"/>
  <c r="C115" i="21"/>
  <c r="B115" i="21"/>
  <c r="D114" i="21"/>
  <c r="C114" i="21"/>
  <c r="B114" i="21"/>
  <c r="D113" i="21"/>
  <c r="C113" i="21"/>
  <c r="B113" i="21"/>
  <c r="D112" i="21"/>
  <c r="C112" i="21"/>
  <c r="B112" i="21"/>
  <c r="D111" i="21"/>
  <c r="C111" i="21"/>
  <c r="B111" i="21"/>
  <c r="D110" i="21"/>
  <c r="C110" i="21"/>
  <c r="B110" i="21"/>
  <c r="D109" i="21"/>
  <c r="C109" i="21"/>
  <c r="B109" i="21"/>
  <c r="D108" i="21"/>
  <c r="C108" i="21"/>
  <c r="B108" i="21"/>
  <c r="D107" i="21"/>
  <c r="C107" i="21"/>
  <c r="B107" i="21"/>
  <c r="D106" i="21"/>
  <c r="C106" i="21"/>
  <c r="B106" i="21"/>
  <c r="D105" i="21"/>
  <c r="C105" i="21"/>
  <c r="B105" i="21"/>
  <c r="D104" i="21"/>
  <c r="C104" i="21"/>
  <c r="B104" i="21"/>
  <c r="D9" i="18"/>
  <c r="E9" i="18"/>
  <c r="F9" i="18"/>
  <c r="G9" i="18"/>
  <c r="H9" i="18"/>
  <c r="I9" i="18"/>
  <c r="J9" i="18"/>
  <c r="K9" i="18"/>
  <c r="L9" i="18"/>
  <c r="M9" i="18"/>
  <c r="N9" i="18"/>
  <c r="O9" i="18"/>
  <c r="P9" i="18"/>
  <c r="Q9" i="18"/>
  <c r="R9" i="18"/>
  <c r="S9" i="18"/>
  <c r="T9" i="18"/>
  <c r="U9" i="18"/>
  <c r="V9" i="18"/>
  <c r="W9" i="18"/>
  <c r="X9" i="18"/>
  <c r="Y9" i="18"/>
  <c r="Z9" i="18"/>
  <c r="AA9" i="18"/>
  <c r="AB9" i="18"/>
  <c r="AC9" i="18"/>
  <c r="AD9" i="18"/>
  <c r="AE9" i="18"/>
  <c r="AF9" i="18"/>
  <c r="D11" i="18"/>
  <c r="E11" i="18"/>
  <c r="F11" i="18"/>
  <c r="G11" i="18"/>
  <c r="H11" i="18"/>
  <c r="I11" i="18"/>
  <c r="J11" i="18"/>
  <c r="K11" i="18"/>
  <c r="L11" i="18"/>
  <c r="M11" i="18"/>
  <c r="N11" i="18"/>
  <c r="O11" i="18"/>
  <c r="P11" i="18"/>
  <c r="Q11" i="18"/>
  <c r="R11" i="18"/>
  <c r="S11" i="18"/>
  <c r="T11" i="18"/>
  <c r="U11" i="18"/>
  <c r="V11" i="18"/>
  <c r="W11" i="18"/>
  <c r="X11" i="18"/>
  <c r="Y11" i="18"/>
  <c r="Z11" i="18"/>
  <c r="AA11" i="18"/>
  <c r="AB11" i="18"/>
  <c r="AC11" i="18"/>
  <c r="AD11" i="18"/>
  <c r="AE11" i="18"/>
  <c r="AF11" i="18"/>
  <c r="C9" i="18"/>
  <c r="C11" i="18"/>
  <c r="D4" i="18"/>
  <c r="E4" i="18"/>
  <c r="F4" i="18"/>
  <c r="G4" i="18"/>
  <c r="H4" i="18"/>
  <c r="I4" i="18"/>
  <c r="J4" i="18"/>
  <c r="K4" i="18"/>
  <c r="L4" i="18"/>
  <c r="M4" i="18"/>
  <c r="N4" i="18"/>
  <c r="O4" i="18"/>
  <c r="P4" i="18"/>
  <c r="Q4" i="18"/>
  <c r="R4" i="18"/>
  <c r="S4" i="18"/>
  <c r="T4" i="18"/>
  <c r="U4" i="18"/>
  <c r="V4" i="18"/>
  <c r="W4" i="18"/>
  <c r="X4" i="18"/>
  <c r="Y4" i="18"/>
  <c r="Z4" i="18"/>
  <c r="AA4" i="18"/>
  <c r="AB4" i="18"/>
  <c r="AC4" i="18"/>
  <c r="AD4" i="18"/>
  <c r="AE4" i="18"/>
  <c r="AF4" i="18"/>
  <c r="C4" i="18"/>
  <c r="D3" i="18"/>
  <c r="E3" i="18"/>
  <c r="F3" i="18"/>
  <c r="G3" i="18"/>
  <c r="H3" i="18"/>
  <c r="I3" i="18"/>
  <c r="J3" i="18"/>
  <c r="K3" i="18"/>
  <c r="L3" i="18"/>
  <c r="M3" i="18"/>
  <c r="N3" i="18"/>
  <c r="O3" i="18"/>
  <c r="P3" i="18"/>
  <c r="Q3" i="18"/>
  <c r="R3" i="18"/>
  <c r="S3" i="18"/>
  <c r="T3" i="18"/>
  <c r="U3" i="18"/>
  <c r="V3" i="18"/>
  <c r="W3" i="18"/>
  <c r="X3" i="18"/>
  <c r="Y3" i="18"/>
  <c r="Z3" i="18"/>
  <c r="AA3" i="18"/>
  <c r="AB3" i="18"/>
  <c r="AC3" i="18"/>
  <c r="AD3" i="18"/>
  <c r="AE3" i="18"/>
  <c r="AF3" i="18"/>
  <c r="C3" i="18"/>
  <c r="H1" i="20"/>
  <c r="D102" i="18"/>
  <c r="E102" i="18"/>
  <c r="F102" i="18"/>
  <c r="G102" i="18"/>
  <c r="H102" i="18"/>
  <c r="I102" i="18"/>
  <c r="J102" i="18"/>
  <c r="K102" i="18"/>
  <c r="L102" i="18"/>
  <c r="M102" i="18"/>
  <c r="N102" i="18"/>
  <c r="O102" i="18"/>
  <c r="P102" i="18"/>
  <c r="Q102" i="18"/>
  <c r="R102" i="18"/>
  <c r="S102" i="18"/>
  <c r="T102" i="18"/>
  <c r="U102" i="18"/>
  <c r="V102" i="18"/>
  <c r="W102" i="18"/>
  <c r="X102" i="18"/>
  <c r="Y102" i="18"/>
  <c r="Z102" i="18"/>
  <c r="AA102" i="18"/>
  <c r="AB102" i="18"/>
  <c r="AC102" i="18"/>
  <c r="AD102" i="18"/>
  <c r="AE102" i="18"/>
  <c r="AF102" i="18"/>
  <c r="C102" i="18"/>
  <c r="D101" i="18"/>
  <c r="C101" i="18"/>
  <c r="C100" i="18"/>
  <c r="H7" i="21" s="1"/>
  <c r="F44" i="19"/>
  <c r="G44" i="19"/>
  <c r="H44" i="19"/>
  <c r="AH94" i="18"/>
  <c r="AI94" i="18"/>
  <c r="G37" i="19" s="1"/>
  <c r="AH95" i="18"/>
  <c r="AI95" i="18"/>
  <c r="G38" i="19" s="1"/>
  <c r="AH96" i="18"/>
  <c r="AI96" i="18"/>
  <c r="G39" i="19" s="1"/>
  <c r="AH71" i="18"/>
  <c r="AI71" i="18"/>
  <c r="G11" i="19" s="1"/>
  <c r="AH72" i="18"/>
  <c r="AI72" i="18"/>
  <c r="G12" i="19" s="1"/>
  <c r="AH73" i="18"/>
  <c r="F13" i="19" s="1"/>
  <c r="AI73" i="18"/>
  <c r="G13" i="19" s="1"/>
  <c r="AH74" i="18"/>
  <c r="F14" i="19" s="1"/>
  <c r="AI74" i="18"/>
  <c r="AH75" i="18"/>
  <c r="F15" i="19" s="1"/>
  <c r="AI75" i="18"/>
  <c r="G15" i="19" s="1"/>
  <c r="AH76" i="18"/>
  <c r="AI76" i="18"/>
  <c r="G16" i="19" s="1"/>
  <c r="AH77" i="18"/>
  <c r="F17" i="19" s="1"/>
  <c r="AI77" i="18"/>
  <c r="G17" i="19" s="1"/>
  <c r="AH78" i="18"/>
  <c r="F18" i="19" s="1"/>
  <c r="AI78" i="18"/>
  <c r="G18" i="19" s="1"/>
  <c r="AH79" i="18"/>
  <c r="F19" i="19" s="1"/>
  <c r="AI79" i="18"/>
  <c r="G19" i="19" s="1"/>
  <c r="AH80" i="18"/>
  <c r="F20" i="19" s="1"/>
  <c r="AI80" i="18"/>
  <c r="G20" i="19" s="1"/>
  <c r="AH81" i="18"/>
  <c r="F21" i="19" s="1"/>
  <c r="AI81" i="18"/>
  <c r="G21" i="19" s="1"/>
  <c r="AH82" i="18"/>
  <c r="F22" i="19" s="1"/>
  <c r="AI82" i="18"/>
  <c r="G22" i="19" s="1"/>
  <c r="AH83" i="18"/>
  <c r="F23" i="19" s="1"/>
  <c r="AI83" i="18"/>
  <c r="G23" i="19" s="1"/>
  <c r="AH84" i="18"/>
  <c r="F24" i="19" s="1"/>
  <c r="AI84" i="18"/>
  <c r="G24" i="19" s="1"/>
  <c r="AH85" i="18"/>
  <c r="AI85" i="18"/>
  <c r="G25" i="19" s="1"/>
  <c r="AH86" i="18"/>
  <c r="AI86" i="18"/>
  <c r="G26" i="19" s="1"/>
  <c r="AH87" i="18"/>
  <c r="F27" i="19" s="1"/>
  <c r="AI87" i="18"/>
  <c r="G27" i="19" s="1"/>
  <c r="AH88" i="18"/>
  <c r="AI88" i="18"/>
  <c r="AH89" i="18"/>
  <c r="AI89" i="18"/>
  <c r="G29" i="19" s="1"/>
  <c r="AH90" i="18"/>
  <c r="AI90" i="18"/>
  <c r="G30" i="19" s="1"/>
  <c r="AH91" i="18"/>
  <c r="AI91" i="18"/>
  <c r="G31" i="19" s="1"/>
  <c r="AH92" i="18"/>
  <c r="F32" i="19" s="1"/>
  <c r="AI92" i="18"/>
  <c r="G32" i="19" s="1"/>
  <c r="AH93" i="18"/>
  <c r="F33" i="19" s="1"/>
  <c r="AI93" i="18"/>
  <c r="G33" i="19" s="1"/>
  <c r="AI70" i="18"/>
  <c r="G10" i="19" s="1"/>
  <c r="AH70" i="18"/>
  <c r="G128" i="21" l="1"/>
  <c r="G122" i="21"/>
  <c r="G116" i="21"/>
  <c r="G110" i="21"/>
  <c r="G133" i="21"/>
  <c r="G130" i="21"/>
  <c r="G127" i="21"/>
  <c r="G124" i="21"/>
  <c r="G121" i="21"/>
  <c r="G118" i="21"/>
  <c r="G115" i="21"/>
  <c r="G112" i="21"/>
  <c r="G109" i="21"/>
  <c r="G106" i="21"/>
  <c r="G131" i="21"/>
  <c r="G125" i="21"/>
  <c r="G119" i="21"/>
  <c r="G113" i="21"/>
  <c r="G132" i="21"/>
  <c r="G129" i="21"/>
  <c r="G126" i="21"/>
  <c r="G123" i="21"/>
  <c r="G120" i="21"/>
  <c r="G117" i="21"/>
  <c r="G114" i="21"/>
  <c r="G111" i="21"/>
  <c r="G108" i="21"/>
  <c r="G105" i="21"/>
  <c r="G107" i="21"/>
  <c r="G104" i="21"/>
  <c r="AJ86" i="18"/>
  <c r="H26" i="19" s="1"/>
  <c r="AJ70" i="18"/>
  <c r="H10" i="19" s="1"/>
  <c r="AJ82" i="18"/>
  <c r="H22" i="19" s="1"/>
  <c r="AJ96" i="18"/>
  <c r="H39" i="19" s="1"/>
  <c r="AJ77" i="18"/>
  <c r="H17" i="19" s="1"/>
  <c r="AJ72" i="18"/>
  <c r="H12" i="19" s="1"/>
  <c r="AJ90" i="18"/>
  <c r="H30" i="19" s="1"/>
  <c r="AJ76" i="18"/>
  <c r="H16" i="19" s="1"/>
  <c r="AJ85" i="18"/>
  <c r="H25" i="19" s="1"/>
  <c r="F10" i="19"/>
  <c r="AJ95" i="18"/>
  <c r="H38" i="19" s="1"/>
  <c r="F26" i="19"/>
  <c r="F16" i="19"/>
  <c r="AJ91" i="18"/>
  <c r="H31" i="19" s="1"/>
  <c r="AJ71" i="18"/>
  <c r="H11" i="19" s="1"/>
  <c r="AJ94" i="18"/>
  <c r="H37" i="19" s="1"/>
  <c r="F38" i="19"/>
  <c r="AJ89" i="18"/>
  <c r="H29" i="19" s="1"/>
  <c r="AJ81" i="18"/>
  <c r="H21" i="19" s="1"/>
  <c r="F30" i="19"/>
  <c r="F25" i="19"/>
  <c r="F11" i="19"/>
  <c r="AH98" i="18"/>
  <c r="F41" i="19" s="1"/>
  <c r="AI98" i="18"/>
  <c r="G41" i="19" s="1"/>
  <c r="AI99" i="18"/>
  <c r="G42" i="19" s="1"/>
  <c r="AJ88" i="18"/>
  <c r="H28" i="19" s="1"/>
  <c r="AJ93" i="18"/>
  <c r="H33" i="19" s="1"/>
  <c r="AJ83" i="18"/>
  <c r="H23" i="19" s="1"/>
  <c r="AJ80" i="18"/>
  <c r="H20" i="19" s="1"/>
  <c r="AJ78" i="18"/>
  <c r="H18" i="19" s="1"/>
  <c r="AJ73" i="18"/>
  <c r="H13" i="19" s="1"/>
  <c r="G28" i="19"/>
  <c r="G14" i="19"/>
  <c r="F39" i="19"/>
  <c r="F37" i="19"/>
  <c r="F28" i="19"/>
  <c r="F12" i="19"/>
  <c r="AJ92" i="18"/>
  <c r="H32" i="19" s="1"/>
  <c r="AJ87" i="18"/>
  <c r="H27" i="19" s="1"/>
  <c r="AJ75" i="18"/>
  <c r="H15" i="19" s="1"/>
  <c r="F31" i="19"/>
  <c r="AI100" i="18"/>
  <c r="G43" i="19" s="1"/>
  <c r="F29" i="19"/>
  <c r="AJ74" i="18"/>
  <c r="H14" i="19" s="1"/>
  <c r="AJ79" i="18"/>
  <c r="AJ84" i="18"/>
  <c r="AM84" i="18" s="1"/>
  <c r="J24" i="19" s="1"/>
  <c r="AH100" i="18"/>
  <c r="F43" i="19" s="1"/>
  <c r="AI97" i="18"/>
  <c r="G40" i="19" s="1"/>
  <c r="AH97" i="18"/>
  <c r="AH102" i="18"/>
  <c r="F45" i="19" s="1"/>
  <c r="AH99" i="18"/>
  <c r="AM71" i="18"/>
  <c r="J11" i="19" s="1"/>
  <c r="AI102" i="18"/>
  <c r="G45" i="19" s="1"/>
  <c r="AL90" i="18"/>
  <c r="I30" i="19" s="1"/>
  <c r="AL93" i="18"/>
  <c r="I33" i="19" s="1"/>
  <c r="AM86" i="18"/>
  <c r="J26" i="19" s="1"/>
  <c r="AL92" i="18"/>
  <c r="I32" i="19" s="1"/>
  <c r="AL86" i="18"/>
  <c r="I26" i="19" s="1"/>
  <c r="AM96" i="18"/>
  <c r="J39" i="19" s="1"/>
  <c r="AM82" i="18"/>
  <c r="J22" i="19" s="1"/>
  <c r="U103" i="21" l="1"/>
  <c r="U104" i="21"/>
  <c r="U105" i="21"/>
  <c r="U102" i="21"/>
  <c r="AL85" i="18"/>
  <c r="I25" i="19" s="1"/>
  <c r="AL77" i="18"/>
  <c r="I17" i="19" s="1"/>
  <c r="AL96" i="18"/>
  <c r="I39" i="19" s="1"/>
  <c r="AM83" i="18"/>
  <c r="J23" i="19" s="1"/>
  <c r="AM94" i="18"/>
  <c r="J37" i="19" s="1"/>
  <c r="AL94" i="18"/>
  <c r="I37" i="19" s="1"/>
  <c r="AL83" i="18"/>
  <c r="I23" i="19" s="1"/>
  <c r="AL95" i="18"/>
  <c r="I38" i="19" s="1"/>
  <c r="AL82" i="18"/>
  <c r="I22" i="19" s="1"/>
  <c r="AM81" i="18"/>
  <c r="J21" i="19" s="1"/>
  <c r="AM72" i="18"/>
  <c r="J12" i="19" s="1"/>
  <c r="AL81" i="18"/>
  <c r="I21" i="19" s="1"/>
  <c r="AL72" i="18"/>
  <c r="I12" i="19" s="1"/>
  <c r="AL89" i="18"/>
  <c r="I29" i="19" s="1"/>
  <c r="AM89" i="18"/>
  <c r="J29" i="19" s="1"/>
  <c r="AM93" i="18"/>
  <c r="J33" i="19" s="1"/>
  <c r="AM87" i="18"/>
  <c r="J27" i="19" s="1"/>
  <c r="AM75" i="18"/>
  <c r="J15" i="19" s="1"/>
  <c r="AM77" i="18"/>
  <c r="J17" i="19" s="1"/>
  <c r="AM85" i="18"/>
  <c r="J25" i="19" s="1"/>
  <c r="AL87" i="18"/>
  <c r="I27" i="19" s="1"/>
  <c r="AL75" i="18"/>
  <c r="I15" i="19" s="1"/>
  <c r="AL71" i="18"/>
  <c r="I11" i="19" s="1"/>
  <c r="AJ102" i="18"/>
  <c r="H45" i="19" s="1"/>
  <c r="AM91" i="18"/>
  <c r="J31" i="19" s="1"/>
  <c r="AL91" i="18"/>
  <c r="I31" i="19" s="1"/>
  <c r="AM90" i="18"/>
  <c r="J30" i="19" s="1"/>
  <c r="AM95" i="18"/>
  <c r="J38" i="19" s="1"/>
  <c r="AJ98" i="18"/>
  <c r="H41" i="19" s="1"/>
  <c r="AM73" i="18"/>
  <c r="J13" i="19" s="1"/>
  <c r="AL80" i="18"/>
  <c r="I20" i="19" s="1"/>
  <c r="AL76" i="18"/>
  <c r="I16" i="19" s="1"/>
  <c r="AM76" i="18"/>
  <c r="J16" i="19" s="1"/>
  <c r="AL73" i="18"/>
  <c r="I13" i="19" s="1"/>
  <c r="AL78" i="18"/>
  <c r="I18" i="19" s="1"/>
  <c r="AJ97" i="18"/>
  <c r="H40" i="19" s="1"/>
  <c r="F40" i="19"/>
  <c r="AL88" i="18"/>
  <c r="I28" i="19" s="1"/>
  <c r="AL74" i="18"/>
  <c r="I14" i="19" s="1"/>
  <c r="AL84" i="18"/>
  <c r="I24" i="19" s="1"/>
  <c r="H24" i="19"/>
  <c r="AM88" i="18"/>
  <c r="J28" i="19" s="1"/>
  <c r="AM78" i="18"/>
  <c r="J18" i="19" s="1"/>
  <c r="AM74" i="18"/>
  <c r="J14" i="19" s="1"/>
  <c r="AJ99" i="18"/>
  <c r="H42" i="19" s="1"/>
  <c r="F42" i="19"/>
  <c r="AL79" i="18"/>
  <c r="I19" i="19" s="1"/>
  <c r="H19" i="19"/>
  <c r="AJ100" i="18"/>
  <c r="AM79" i="18"/>
  <c r="J19" i="19" s="1"/>
  <c r="AM70" i="18"/>
  <c r="J10" i="19" s="1"/>
  <c r="AL70" i="18"/>
  <c r="I10" i="19" s="1"/>
  <c r="AM98" i="18"/>
  <c r="J41" i="19" s="1"/>
  <c r="AM80" i="18"/>
  <c r="J20" i="19" s="1"/>
  <c r="AM92" i="18"/>
  <c r="J32" i="19" s="1"/>
  <c r="AL97" i="18" l="1"/>
  <c r="I40" i="19" s="1"/>
  <c r="AM97" i="18"/>
  <c r="J40" i="19" s="1"/>
  <c r="AM99" i="18"/>
  <c r="J42" i="19" s="1"/>
  <c r="AL100" i="18"/>
  <c r="I43" i="19" s="1"/>
  <c r="H43" i="19"/>
  <c r="AM100" i="18"/>
  <c r="J43" i="19" s="1"/>
  <c r="AL98" i="18"/>
  <c r="I41" i="19" s="1"/>
  <c r="AL99" i="18"/>
  <c r="I42" i="19" s="1"/>
  <c r="AL102" i="18" l="1"/>
  <c r="D97" i="18"/>
  <c r="E97" i="18"/>
  <c r="F97" i="18"/>
  <c r="G97" i="18"/>
  <c r="H97" i="18"/>
  <c r="I97" i="18"/>
  <c r="J97" i="18"/>
  <c r="K97" i="18"/>
  <c r="L97" i="18"/>
  <c r="M97" i="18"/>
  <c r="N97" i="18"/>
  <c r="O97" i="18"/>
  <c r="P97" i="18"/>
  <c r="Q97" i="18"/>
  <c r="R97" i="18"/>
  <c r="S97" i="18"/>
  <c r="T97" i="18"/>
  <c r="U97" i="18"/>
  <c r="V97" i="18"/>
  <c r="W97" i="18"/>
  <c r="X97" i="18"/>
  <c r="Y97" i="18"/>
  <c r="Z97" i="18"/>
  <c r="AA97" i="18"/>
  <c r="AB97" i="18"/>
  <c r="AC97" i="18"/>
  <c r="AD97" i="18"/>
  <c r="AE97" i="18"/>
  <c r="AF97" i="18"/>
  <c r="C97" i="18"/>
  <c r="D98" i="18"/>
  <c r="E98" i="18"/>
  <c r="F98" i="18"/>
  <c r="G98" i="18"/>
  <c r="H98" i="18"/>
  <c r="I98" i="18"/>
  <c r="J98" i="18"/>
  <c r="K98" i="18"/>
  <c r="L98" i="18"/>
  <c r="M98" i="18"/>
  <c r="N98" i="18"/>
  <c r="O98" i="18"/>
  <c r="P98" i="18"/>
  <c r="Q98" i="18"/>
  <c r="R98" i="18"/>
  <c r="S98" i="18"/>
  <c r="T98" i="18"/>
  <c r="U98" i="18"/>
  <c r="V98" i="18"/>
  <c r="W98" i="18"/>
  <c r="X98" i="18"/>
  <c r="Y98" i="18"/>
  <c r="Z98" i="18"/>
  <c r="AA98" i="18"/>
  <c r="AB98" i="18"/>
  <c r="AC98" i="18"/>
  <c r="AD98" i="18"/>
  <c r="AE98" i="18"/>
  <c r="AF98" i="18"/>
  <c r="C98" i="18"/>
  <c r="D99" i="18"/>
  <c r="E99" i="18"/>
  <c r="F99" i="18"/>
  <c r="G99" i="18"/>
  <c r="H99" i="18"/>
  <c r="I99" i="18"/>
  <c r="J99" i="18"/>
  <c r="K99" i="18"/>
  <c r="L99" i="18"/>
  <c r="M99" i="18"/>
  <c r="N99" i="18"/>
  <c r="O99" i="18"/>
  <c r="P99" i="18"/>
  <c r="Q99" i="18"/>
  <c r="R99" i="18"/>
  <c r="S99" i="18"/>
  <c r="T99" i="18"/>
  <c r="U99" i="18"/>
  <c r="V99" i="18"/>
  <c r="W99" i="18"/>
  <c r="X99" i="18"/>
  <c r="Y99" i="18"/>
  <c r="Z99" i="18"/>
  <c r="AA99" i="18"/>
  <c r="AB99" i="18"/>
  <c r="AC99" i="18"/>
  <c r="AD99" i="18"/>
  <c r="AE99" i="18"/>
  <c r="AF99" i="18"/>
  <c r="C99" i="18"/>
  <c r="H53" i="21"/>
  <c r="E101" i="18"/>
  <c r="F101" i="18"/>
  <c r="G101" i="18"/>
  <c r="H56" i="21" s="1"/>
  <c r="H101" i="18"/>
  <c r="H57" i="21" s="1"/>
  <c r="I101" i="18"/>
  <c r="H58" i="21" s="1"/>
  <c r="J101" i="18"/>
  <c r="H59" i="21" s="1"/>
  <c r="K101" i="18"/>
  <c r="H60" i="21" s="1"/>
  <c r="L101" i="18"/>
  <c r="H61" i="21" s="1"/>
  <c r="M101" i="18"/>
  <c r="H62" i="21" s="1"/>
  <c r="N101" i="18"/>
  <c r="H63" i="21" s="1"/>
  <c r="O101" i="18"/>
  <c r="H64" i="21" s="1"/>
  <c r="P101" i="18"/>
  <c r="H65" i="21" s="1"/>
  <c r="Q101" i="18"/>
  <c r="H66" i="21" s="1"/>
  <c r="R101" i="18"/>
  <c r="S101" i="18"/>
  <c r="H68" i="21" s="1"/>
  <c r="T101" i="18"/>
  <c r="H69" i="21" s="1"/>
  <c r="U101" i="18"/>
  <c r="H70" i="21" s="1"/>
  <c r="V101" i="18"/>
  <c r="H71" i="21" s="1"/>
  <c r="W101" i="18"/>
  <c r="H72" i="21" s="1"/>
  <c r="X101" i="18"/>
  <c r="H73" i="21" s="1"/>
  <c r="Y101" i="18"/>
  <c r="H74" i="21" s="1"/>
  <c r="Z101" i="18"/>
  <c r="H75" i="21" s="1"/>
  <c r="AA101" i="18"/>
  <c r="H76" i="21" s="1"/>
  <c r="AB101" i="18"/>
  <c r="H77" i="21" s="1"/>
  <c r="AC101" i="18"/>
  <c r="H78" i="21" s="1"/>
  <c r="AD101" i="18"/>
  <c r="H79" i="21" s="1"/>
  <c r="AE101" i="18"/>
  <c r="H80" i="21" s="1"/>
  <c r="AF101" i="18"/>
  <c r="H81" i="21" s="1"/>
  <c r="H52" i="21"/>
  <c r="D100" i="18"/>
  <c r="H8" i="21" s="1"/>
  <c r="E100" i="18"/>
  <c r="H9" i="21" s="1"/>
  <c r="F100" i="18"/>
  <c r="H10" i="21" s="1"/>
  <c r="G100" i="18"/>
  <c r="H11" i="21" s="1"/>
  <c r="H100" i="18"/>
  <c r="H12" i="21" s="1"/>
  <c r="I100" i="18"/>
  <c r="H13" i="21" s="1"/>
  <c r="J100" i="18"/>
  <c r="H14" i="21" s="1"/>
  <c r="K100" i="18"/>
  <c r="H15" i="21" s="1"/>
  <c r="L100" i="18"/>
  <c r="H16" i="21" s="1"/>
  <c r="M100" i="18"/>
  <c r="H17" i="21" s="1"/>
  <c r="N100" i="18"/>
  <c r="H18" i="21" s="1"/>
  <c r="O100" i="18"/>
  <c r="H19" i="21" s="1"/>
  <c r="P100" i="18"/>
  <c r="H20" i="21" s="1"/>
  <c r="Q100" i="18"/>
  <c r="H21" i="21" s="1"/>
  <c r="R100" i="18"/>
  <c r="H22" i="21" s="1"/>
  <c r="S100" i="18"/>
  <c r="H23" i="21" s="1"/>
  <c r="T100" i="18"/>
  <c r="H24" i="21" s="1"/>
  <c r="U100" i="18"/>
  <c r="H25" i="21" s="1"/>
  <c r="V100" i="18"/>
  <c r="H26" i="21" s="1"/>
  <c r="W100" i="18"/>
  <c r="H27" i="21" s="1"/>
  <c r="X100" i="18"/>
  <c r="H28" i="21" s="1"/>
  <c r="Y100" i="18"/>
  <c r="H29" i="21" s="1"/>
  <c r="Z100" i="18"/>
  <c r="H30" i="21" s="1"/>
  <c r="AA100" i="18"/>
  <c r="H31" i="21" s="1"/>
  <c r="AB100" i="18"/>
  <c r="H32" i="21" s="1"/>
  <c r="AC100" i="18"/>
  <c r="H33" i="21" s="1"/>
  <c r="AD100" i="18"/>
  <c r="H34" i="21" s="1"/>
  <c r="AE100" i="18"/>
  <c r="H35" i="21" s="1"/>
  <c r="AF100" i="18"/>
  <c r="H36" i="21" s="1"/>
  <c r="H55" i="21"/>
  <c r="H67" i="21"/>
  <c r="F53" i="21"/>
  <c r="F54" i="21"/>
  <c r="F55" i="21"/>
  <c r="F56" i="21"/>
  <c r="T52" i="21" s="1"/>
  <c r="F57" i="21"/>
  <c r="T53" i="21" s="1"/>
  <c r="F58" i="21"/>
  <c r="F59" i="21"/>
  <c r="F60" i="21"/>
  <c r="F61" i="21"/>
  <c r="F62" i="21"/>
  <c r="F63" i="21"/>
  <c r="F64" i="21"/>
  <c r="F65" i="21"/>
  <c r="F66" i="21"/>
  <c r="F67" i="21"/>
  <c r="F68" i="21"/>
  <c r="F69" i="21"/>
  <c r="F70" i="21"/>
  <c r="F71" i="21"/>
  <c r="F72" i="21"/>
  <c r="F73" i="21"/>
  <c r="F74" i="21"/>
  <c r="F75" i="21"/>
  <c r="F76" i="21"/>
  <c r="F77" i="21"/>
  <c r="F78" i="21"/>
  <c r="F79" i="21"/>
  <c r="F80" i="21"/>
  <c r="F81" i="21"/>
  <c r="F52" i="21"/>
  <c r="E53" i="21"/>
  <c r="E54" i="21"/>
  <c r="S54" i="21" s="1"/>
  <c r="E55" i="21"/>
  <c r="S55" i="21" s="1"/>
  <c r="E56" i="21"/>
  <c r="S52" i="21" s="1"/>
  <c r="E57" i="21"/>
  <c r="S53" i="21" s="1"/>
  <c r="E58" i="21"/>
  <c r="E59" i="21"/>
  <c r="E60" i="21"/>
  <c r="E61" i="21"/>
  <c r="E62" i="21"/>
  <c r="E63" i="21"/>
  <c r="E64" i="21"/>
  <c r="E65" i="21"/>
  <c r="E66" i="21"/>
  <c r="E67" i="21"/>
  <c r="E68" i="21"/>
  <c r="E69" i="21"/>
  <c r="E70" i="21"/>
  <c r="E71" i="21"/>
  <c r="E72" i="21"/>
  <c r="E73" i="21"/>
  <c r="E74" i="21"/>
  <c r="E75" i="21"/>
  <c r="E76" i="21"/>
  <c r="E77" i="21"/>
  <c r="E78" i="21"/>
  <c r="E79" i="21"/>
  <c r="E80" i="21"/>
  <c r="E81" i="21"/>
  <c r="E52" i="21"/>
  <c r="D81" i="21"/>
  <c r="C81" i="21"/>
  <c r="B81" i="21"/>
  <c r="D80" i="21"/>
  <c r="C80" i="21"/>
  <c r="B80" i="21"/>
  <c r="D79" i="21"/>
  <c r="C79" i="21"/>
  <c r="B79" i="21"/>
  <c r="D78" i="21"/>
  <c r="C78" i="21"/>
  <c r="B78" i="21"/>
  <c r="D77" i="21"/>
  <c r="C77" i="21"/>
  <c r="B77" i="21"/>
  <c r="D76" i="21"/>
  <c r="C76" i="21"/>
  <c r="B76" i="21"/>
  <c r="D75" i="21"/>
  <c r="C75" i="21"/>
  <c r="B75" i="21"/>
  <c r="D74" i="21"/>
  <c r="C74" i="21"/>
  <c r="B74" i="21"/>
  <c r="D73" i="21"/>
  <c r="C73" i="21"/>
  <c r="B73" i="21"/>
  <c r="D72" i="21"/>
  <c r="C72" i="21"/>
  <c r="B72" i="21"/>
  <c r="D71" i="21"/>
  <c r="C71" i="21"/>
  <c r="B71" i="21"/>
  <c r="D70" i="21"/>
  <c r="C70" i="21"/>
  <c r="B70" i="21"/>
  <c r="D69" i="21"/>
  <c r="C69" i="21"/>
  <c r="B69" i="21"/>
  <c r="D68" i="21"/>
  <c r="C68" i="21"/>
  <c r="B68" i="21"/>
  <c r="D67" i="21"/>
  <c r="C67" i="21"/>
  <c r="B67" i="21"/>
  <c r="D66" i="21"/>
  <c r="C66" i="21"/>
  <c r="B66" i="21"/>
  <c r="D65" i="21"/>
  <c r="C65" i="21"/>
  <c r="B65" i="21"/>
  <c r="D64" i="21"/>
  <c r="C64" i="21"/>
  <c r="B64" i="21"/>
  <c r="D63" i="21"/>
  <c r="C63" i="21"/>
  <c r="B63" i="21"/>
  <c r="D62" i="21"/>
  <c r="C62" i="21"/>
  <c r="B62" i="21"/>
  <c r="D61" i="21"/>
  <c r="C61" i="21"/>
  <c r="B61" i="21"/>
  <c r="D60" i="21"/>
  <c r="C60" i="21"/>
  <c r="B60" i="21"/>
  <c r="D59" i="21"/>
  <c r="C59" i="21"/>
  <c r="B59" i="21"/>
  <c r="D58" i="21"/>
  <c r="C58" i="21"/>
  <c r="B58" i="21"/>
  <c r="D57" i="21"/>
  <c r="C57" i="21"/>
  <c r="B57" i="21"/>
  <c r="D56" i="21"/>
  <c r="C56" i="21"/>
  <c r="B56" i="21"/>
  <c r="D55" i="21"/>
  <c r="C55" i="21"/>
  <c r="B55" i="21"/>
  <c r="D54" i="21"/>
  <c r="C54" i="21"/>
  <c r="B54" i="21"/>
  <c r="D53" i="21"/>
  <c r="C53" i="21"/>
  <c r="B53" i="21"/>
  <c r="D52" i="21"/>
  <c r="C52" i="21"/>
  <c r="B52"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7" i="21"/>
  <c r="E8" i="21" a="1"/>
  <c r="E8" i="21" s="1"/>
  <c r="S8" i="21" s="1"/>
  <c r="E9" i="21" a="1"/>
  <c r="E9" i="21" s="1"/>
  <c r="S5" i="21" s="1"/>
  <c r="E10" i="21" a="1"/>
  <c r="E10" i="21" s="1"/>
  <c r="S6" i="21" s="1"/>
  <c r="E11" i="21" a="1"/>
  <c r="E11" i="21" s="1"/>
  <c r="E12" i="21" a="1"/>
  <c r="E12" i="21" s="1"/>
  <c r="E13" i="21" a="1"/>
  <c r="E13" i="21" s="1"/>
  <c r="E14" i="21" a="1"/>
  <c r="E14" i="21" s="1"/>
  <c r="E15" i="21" a="1"/>
  <c r="E15" i="21" s="1"/>
  <c r="E16" i="21" a="1"/>
  <c r="E16" i="21" s="1"/>
  <c r="E17" i="21" a="1"/>
  <c r="E17" i="21" s="1"/>
  <c r="E18" i="21" a="1"/>
  <c r="E18" i="21" s="1"/>
  <c r="E19" i="21" a="1"/>
  <c r="E19" i="21" s="1"/>
  <c r="E20" i="21" a="1"/>
  <c r="E20" i="21" s="1"/>
  <c r="E21" i="21" a="1"/>
  <c r="E21" i="21" s="1"/>
  <c r="E22" i="21" a="1"/>
  <c r="E22" i="21" s="1"/>
  <c r="E23" i="21" a="1"/>
  <c r="E23" i="21" s="1"/>
  <c r="E24" i="21" a="1"/>
  <c r="E24" i="21" s="1"/>
  <c r="E25" i="21" a="1"/>
  <c r="E25" i="21" s="1"/>
  <c r="E26" i="21" a="1"/>
  <c r="E26" i="21" s="1"/>
  <c r="E27" i="21" a="1"/>
  <c r="E27" i="21" s="1"/>
  <c r="E28" i="21" a="1"/>
  <c r="E28" i="21" s="1"/>
  <c r="E29" i="21" a="1"/>
  <c r="E29" i="21" s="1"/>
  <c r="E30" i="21" a="1"/>
  <c r="E30" i="21" s="1"/>
  <c r="E31" i="21" a="1"/>
  <c r="E31" i="21" s="1"/>
  <c r="E32" i="21" a="1"/>
  <c r="E32" i="21" s="1"/>
  <c r="E33" i="21" a="1"/>
  <c r="E33" i="21" s="1"/>
  <c r="E34" i="21" a="1"/>
  <c r="E34" i="21" s="1"/>
  <c r="E35" i="21" a="1"/>
  <c r="E35" i="21" s="1"/>
  <c r="E36" i="21" a="1"/>
  <c r="E36" i="21" s="1"/>
  <c r="E7" i="21" a="1"/>
  <c r="E7" i="21" s="1"/>
  <c r="S7" i="21" s="1"/>
  <c r="F8" i="21"/>
  <c r="T8" i="21" s="1"/>
  <c r="F9" i="21"/>
  <c r="T5" i="21" s="1"/>
  <c r="F10" i="21"/>
  <c r="T6" i="21" s="1"/>
  <c r="F11" i="21"/>
  <c r="F12" i="21"/>
  <c r="F13" i="21"/>
  <c r="F14" i="21"/>
  <c r="F15" i="21"/>
  <c r="F16" i="21"/>
  <c r="F17" i="21"/>
  <c r="F18" i="21"/>
  <c r="F19" i="21"/>
  <c r="F20" i="21"/>
  <c r="F21" i="21"/>
  <c r="F22" i="21"/>
  <c r="F23" i="21"/>
  <c r="F24" i="21"/>
  <c r="F25" i="21"/>
  <c r="F26" i="21"/>
  <c r="F27" i="21"/>
  <c r="F28" i="21"/>
  <c r="F29" i="21"/>
  <c r="F30" i="21"/>
  <c r="F31" i="21"/>
  <c r="F32" i="21"/>
  <c r="F33" i="21"/>
  <c r="F34" i="21"/>
  <c r="F35" i="21"/>
  <c r="F36" i="21"/>
  <c r="F7" i="21"/>
  <c r="T7" i="21" s="1"/>
  <c r="C8" i="21"/>
  <c r="C9" i="21"/>
  <c r="C10" i="21"/>
  <c r="C11" i="21"/>
  <c r="C12" i="21"/>
  <c r="C13" i="21"/>
  <c r="C14" i="21"/>
  <c r="C15" i="21"/>
  <c r="C16" i="21"/>
  <c r="C17" i="21"/>
  <c r="C18" i="21"/>
  <c r="C19" i="21"/>
  <c r="C20" i="21"/>
  <c r="C21" i="21"/>
  <c r="C22" i="21"/>
  <c r="C23" i="21"/>
  <c r="C24" i="21"/>
  <c r="C25" i="21"/>
  <c r="C26" i="21"/>
  <c r="C27" i="21"/>
  <c r="C28" i="21"/>
  <c r="C29" i="21"/>
  <c r="C30" i="21"/>
  <c r="C31" i="21"/>
  <c r="C32" i="21"/>
  <c r="C33" i="21"/>
  <c r="C34" i="21"/>
  <c r="C35" i="21"/>
  <c r="C36" i="21"/>
  <c r="B8" i="21"/>
  <c r="B9" i="21"/>
  <c r="B10" i="21"/>
  <c r="B11" i="21"/>
  <c r="B12" i="21"/>
  <c r="B13" i="21"/>
  <c r="B14" i="21"/>
  <c r="B15" i="21"/>
  <c r="B16" i="21"/>
  <c r="B17" i="21"/>
  <c r="B18" i="21"/>
  <c r="B19" i="21"/>
  <c r="B20" i="21"/>
  <c r="B21" i="21"/>
  <c r="B22" i="21"/>
  <c r="B23" i="21"/>
  <c r="B24" i="21"/>
  <c r="B25" i="21"/>
  <c r="B26" i="21"/>
  <c r="B27" i="21"/>
  <c r="B28" i="21"/>
  <c r="B29" i="21"/>
  <c r="B30" i="21"/>
  <c r="B31" i="21"/>
  <c r="B32" i="21"/>
  <c r="B33" i="21"/>
  <c r="B34" i="21"/>
  <c r="B35" i="21"/>
  <c r="B36" i="21"/>
  <c r="B7" i="21"/>
  <c r="D1" i="21" a="1"/>
  <c r="D1" i="21" s="1"/>
  <c r="D2" i="21" a="1"/>
  <c r="D2" i="21" s="1"/>
  <c r="C7" i="21"/>
  <c r="D236" i="20"/>
  <c r="C236" i="20"/>
  <c r="D235" i="20"/>
  <c r="C235" i="20"/>
  <c r="F231" i="20"/>
  <c r="E231" i="20"/>
  <c r="D231" i="20"/>
  <c r="C231" i="20"/>
  <c r="D9" i="10"/>
  <c r="C9" i="10"/>
  <c r="C225" i="20"/>
  <c r="D225" i="20"/>
  <c r="D224" i="20"/>
  <c r="C224" i="20"/>
  <c r="D223" i="20"/>
  <c r="C223" i="20"/>
  <c r="D222" i="20"/>
  <c r="C222" i="20"/>
  <c r="C221" i="20"/>
  <c r="D221" i="20"/>
  <c r="D220" i="20"/>
  <c r="C220" i="20"/>
  <c r="D219" i="20"/>
  <c r="C219" i="20"/>
  <c r="D212" i="20"/>
  <c r="D213" i="20"/>
  <c r="D211" i="20"/>
  <c r="C213" i="20"/>
  <c r="C212" i="20"/>
  <c r="C211" i="20"/>
  <c r="D210" i="20"/>
  <c r="C210" i="20"/>
  <c r="D209" i="20"/>
  <c r="C209" i="20"/>
  <c r="D208" i="20"/>
  <c r="C208" i="20"/>
  <c r="E202" i="20"/>
  <c r="D202" i="20"/>
  <c r="C202" i="20"/>
  <c r="E193" i="20"/>
  <c r="D193" i="20"/>
  <c r="C193" i="20"/>
  <c r="E194" i="20"/>
  <c r="D194" i="20"/>
  <c r="C194" i="20"/>
  <c r="E192" i="20"/>
  <c r="D192" i="20"/>
  <c r="C192" i="20"/>
  <c r="H74" i="20"/>
  <c r="H75" i="20"/>
  <c r="H76" i="20"/>
  <c r="H77" i="20"/>
  <c r="H78" i="20"/>
  <c r="H79" i="20"/>
  <c r="H80" i="20"/>
  <c r="H81" i="20"/>
  <c r="H82" i="20"/>
  <c r="H83" i="20"/>
  <c r="H84" i="20"/>
  <c r="H85" i="20"/>
  <c r="H86" i="20"/>
  <c r="H87" i="20"/>
  <c r="H88" i="20"/>
  <c r="H89" i="20"/>
  <c r="H90" i="20"/>
  <c r="H91" i="20"/>
  <c r="H92" i="20"/>
  <c r="H93" i="20"/>
  <c r="H94" i="20"/>
  <c r="H95" i="20"/>
  <c r="H96" i="20"/>
  <c r="H97" i="20"/>
  <c r="H98" i="20"/>
  <c r="H99" i="20"/>
  <c r="H100" i="20"/>
  <c r="H101" i="20"/>
  <c r="H102" i="20"/>
  <c r="H103" i="20"/>
  <c r="H104" i="20"/>
  <c r="H105" i="20"/>
  <c r="H106" i="20"/>
  <c r="H107" i="20"/>
  <c r="H108" i="20"/>
  <c r="H146" i="20"/>
  <c r="H145" i="20"/>
  <c r="H144" i="20"/>
  <c r="H143" i="20"/>
  <c r="H142" i="20"/>
  <c r="H141" i="20"/>
  <c r="H140" i="20"/>
  <c r="H139" i="20"/>
  <c r="H138" i="20"/>
  <c r="H137" i="20"/>
  <c r="H136" i="20"/>
  <c r="H135" i="20"/>
  <c r="H134" i="20"/>
  <c r="H133" i="20"/>
  <c r="H132" i="20"/>
  <c r="H131" i="20"/>
  <c r="H130" i="20"/>
  <c r="H129" i="20"/>
  <c r="H128" i="20"/>
  <c r="H127" i="20"/>
  <c r="H126" i="20"/>
  <c r="H125" i="20"/>
  <c r="H124" i="20"/>
  <c r="H123" i="20"/>
  <c r="H122" i="20"/>
  <c r="H121" i="20"/>
  <c r="H120" i="20"/>
  <c r="H119" i="20"/>
  <c r="H118" i="20"/>
  <c r="H117" i="20"/>
  <c r="H116" i="20"/>
  <c r="H115" i="20"/>
  <c r="H114" i="20"/>
  <c r="H113" i="20"/>
  <c r="H112" i="20"/>
  <c r="D186" i="20"/>
  <c r="D185" i="20"/>
  <c r="D184" i="20"/>
  <c r="D183" i="20"/>
  <c r="D182" i="20"/>
  <c r="D181" i="20"/>
  <c r="D180" i="20"/>
  <c r="C186" i="20"/>
  <c r="C185" i="20"/>
  <c r="C184" i="20"/>
  <c r="C183" i="20"/>
  <c r="C182" i="20"/>
  <c r="C181" i="20"/>
  <c r="C180" i="20"/>
  <c r="F175" i="20"/>
  <c r="E175" i="20"/>
  <c r="C175" i="20"/>
  <c r="D175" i="20"/>
  <c r="D170" i="20"/>
  <c r="E170" i="20"/>
  <c r="F170" i="20"/>
  <c r="D171" i="20"/>
  <c r="E171" i="20"/>
  <c r="F171" i="20"/>
  <c r="D172" i="20"/>
  <c r="E172" i="20"/>
  <c r="F172" i="20"/>
  <c r="D173" i="20"/>
  <c r="E173" i="20"/>
  <c r="F173" i="20"/>
  <c r="D174" i="20"/>
  <c r="E174" i="20"/>
  <c r="F174" i="20"/>
  <c r="C174" i="20"/>
  <c r="C173" i="20"/>
  <c r="C172" i="20"/>
  <c r="C171" i="20"/>
  <c r="C170" i="20"/>
  <c r="C169" i="20"/>
  <c r="C168" i="20"/>
  <c r="C167" i="20"/>
  <c r="C166" i="20"/>
  <c r="F169" i="20"/>
  <c r="E169" i="20"/>
  <c r="D169" i="20"/>
  <c r="F168" i="20"/>
  <c r="E168" i="20"/>
  <c r="D168" i="20"/>
  <c r="F167" i="20"/>
  <c r="E167" i="20"/>
  <c r="D167" i="20"/>
  <c r="F166" i="20"/>
  <c r="E166" i="20"/>
  <c r="D166" i="20"/>
  <c r="F165" i="20"/>
  <c r="E165" i="20"/>
  <c r="D165" i="20"/>
  <c r="C165" i="20"/>
  <c r="E104" i="20"/>
  <c r="D104" i="20"/>
  <c r="D78" i="20"/>
  <c r="D77" i="20"/>
  <c r="D76" i="20"/>
  <c r="D75" i="20"/>
  <c r="D74" i="20"/>
  <c r="E146" i="20"/>
  <c r="D146" i="20"/>
  <c r="F146" i="20"/>
  <c r="G146" i="20"/>
  <c r="C146" i="20"/>
  <c r="E145" i="20"/>
  <c r="D145" i="20"/>
  <c r="F145" i="20"/>
  <c r="G145" i="20"/>
  <c r="C145" i="20"/>
  <c r="E144" i="20"/>
  <c r="D144" i="20"/>
  <c r="F144" i="20"/>
  <c r="G144" i="20"/>
  <c r="C144" i="20"/>
  <c r="E143" i="20"/>
  <c r="D143" i="20"/>
  <c r="F143" i="20"/>
  <c r="G143" i="20"/>
  <c r="C143" i="20"/>
  <c r="E142" i="20"/>
  <c r="D142" i="20"/>
  <c r="F142" i="20"/>
  <c r="G142" i="20"/>
  <c r="C142" i="20"/>
  <c r="E141" i="20"/>
  <c r="D141" i="20"/>
  <c r="F141" i="20"/>
  <c r="G141" i="20"/>
  <c r="C141" i="20"/>
  <c r="E140" i="20"/>
  <c r="D140" i="20"/>
  <c r="F140" i="20"/>
  <c r="G140" i="20"/>
  <c r="C140" i="20"/>
  <c r="E139" i="20"/>
  <c r="D139" i="20"/>
  <c r="F139" i="20"/>
  <c r="G139" i="20"/>
  <c r="C139" i="20"/>
  <c r="E138" i="20"/>
  <c r="D138" i="20"/>
  <c r="F138" i="20"/>
  <c r="G138" i="20"/>
  <c r="C138" i="20"/>
  <c r="E137" i="20"/>
  <c r="D137" i="20"/>
  <c r="F137" i="20"/>
  <c r="G137" i="20"/>
  <c r="C137" i="20"/>
  <c r="E136" i="20"/>
  <c r="D136" i="20"/>
  <c r="F136" i="20"/>
  <c r="G136" i="20"/>
  <c r="C136" i="20"/>
  <c r="E135" i="20"/>
  <c r="D135" i="20"/>
  <c r="F135" i="20"/>
  <c r="G135" i="20"/>
  <c r="C135" i="20"/>
  <c r="E134" i="20"/>
  <c r="D134" i="20"/>
  <c r="F134" i="20"/>
  <c r="G134" i="20"/>
  <c r="C134" i="20"/>
  <c r="E133" i="20"/>
  <c r="D133" i="20"/>
  <c r="F133" i="20"/>
  <c r="G133" i="20"/>
  <c r="C133" i="20"/>
  <c r="E132" i="20"/>
  <c r="D132" i="20"/>
  <c r="F132" i="20"/>
  <c r="G132" i="20"/>
  <c r="C132" i="20"/>
  <c r="E131" i="20"/>
  <c r="D131" i="20"/>
  <c r="F131" i="20"/>
  <c r="G131" i="20"/>
  <c r="C131" i="20"/>
  <c r="E130" i="20"/>
  <c r="D130" i="20"/>
  <c r="F130" i="20"/>
  <c r="G130" i="20"/>
  <c r="C130" i="20"/>
  <c r="E129" i="20"/>
  <c r="D129" i="20"/>
  <c r="F129" i="20"/>
  <c r="G129" i="20"/>
  <c r="C129" i="20"/>
  <c r="E128" i="20"/>
  <c r="D128" i="20"/>
  <c r="F128" i="20"/>
  <c r="G128" i="20"/>
  <c r="C128" i="20"/>
  <c r="E127" i="20"/>
  <c r="D127" i="20"/>
  <c r="F127" i="20"/>
  <c r="G127" i="20"/>
  <c r="C127" i="20"/>
  <c r="E126" i="20"/>
  <c r="D126" i="20"/>
  <c r="F126" i="20"/>
  <c r="G126" i="20"/>
  <c r="C126" i="20"/>
  <c r="E125" i="20"/>
  <c r="D125" i="20"/>
  <c r="F125" i="20"/>
  <c r="G125" i="20"/>
  <c r="C125" i="20"/>
  <c r="E124" i="20"/>
  <c r="D124" i="20"/>
  <c r="F124" i="20"/>
  <c r="G124" i="20"/>
  <c r="C124" i="20"/>
  <c r="E123" i="20"/>
  <c r="D123" i="20"/>
  <c r="F123" i="20"/>
  <c r="G123" i="20"/>
  <c r="C123" i="20"/>
  <c r="E122" i="20"/>
  <c r="D122" i="20"/>
  <c r="F122" i="20"/>
  <c r="G122" i="20"/>
  <c r="C122" i="20"/>
  <c r="E121" i="20"/>
  <c r="D121" i="20"/>
  <c r="F121" i="20"/>
  <c r="G121" i="20"/>
  <c r="C121" i="20"/>
  <c r="E120" i="20"/>
  <c r="D120" i="20"/>
  <c r="F120" i="20"/>
  <c r="G120" i="20"/>
  <c r="C120" i="20"/>
  <c r="E119" i="20"/>
  <c r="D119" i="20"/>
  <c r="F119" i="20"/>
  <c r="G119" i="20"/>
  <c r="C119" i="20"/>
  <c r="E118" i="20"/>
  <c r="D118" i="20"/>
  <c r="F118" i="20"/>
  <c r="G118" i="20"/>
  <c r="C118" i="20"/>
  <c r="E117" i="20"/>
  <c r="D117" i="20"/>
  <c r="F117" i="20"/>
  <c r="G117" i="20"/>
  <c r="C117" i="20"/>
  <c r="E116" i="20"/>
  <c r="D116" i="20"/>
  <c r="F116" i="20"/>
  <c r="G116" i="20"/>
  <c r="C116" i="20"/>
  <c r="E115" i="20"/>
  <c r="D115" i="20"/>
  <c r="F115" i="20"/>
  <c r="G115" i="20"/>
  <c r="C115" i="20"/>
  <c r="E114" i="20"/>
  <c r="D114" i="20"/>
  <c r="F114" i="20"/>
  <c r="G114" i="20"/>
  <c r="C114" i="20"/>
  <c r="E113" i="20"/>
  <c r="D113" i="20"/>
  <c r="F113" i="20"/>
  <c r="G113" i="20"/>
  <c r="C113" i="20"/>
  <c r="E112" i="20"/>
  <c r="D112" i="20"/>
  <c r="F112" i="20"/>
  <c r="G112" i="20"/>
  <c r="C112" i="20"/>
  <c r="E108" i="20"/>
  <c r="E107" i="20"/>
  <c r="E106" i="20"/>
  <c r="E105" i="20"/>
  <c r="E103" i="20"/>
  <c r="E102" i="20"/>
  <c r="E101" i="20"/>
  <c r="E100" i="20"/>
  <c r="E99" i="20"/>
  <c r="E98" i="20"/>
  <c r="E97" i="20"/>
  <c r="E96" i="20"/>
  <c r="E95" i="20"/>
  <c r="E94" i="20"/>
  <c r="E93" i="20"/>
  <c r="E92" i="20"/>
  <c r="E91" i="20"/>
  <c r="E90" i="20"/>
  <c r="E89" i="20"/>
  <c r="E88" i="20"/>
  <c r="E87" i="20"/>
  <c r="E86" i="20"/>
  <c r="E85" i="20"/>
  <c r="E84" i="20"/>
  <c r="E83" i="20"/>
  <c r="E82" i="20"/>
  <c r="E81" i="20"/>
  <c r="E80" i="20"/>
  <c r="E79" i="20"/>
  <c r="E78" i="20"/>
  <c r="E77" i="20"/>
  <c r="E76" i="20"/>
  <c r="E75" i="20"/>
  <c r="E74" i="20"/>
  <c r="D108" i="20"/>
  <c r="D107" i="20"/>
  <c r="D106" i="20"/>
  <c r="D105" i="20"/>
  <c r="D103" i="20"/>
  <c r="D102" i="20"/>
  <c r="D101" i="20"/>
  <c r="D100" i="20"/>
  <c r="D99" i="20"/>
  <c r="D98" i="20"/>
  <c r="D97" i="20"/>
  <c r="D96" i="20"/>
  <c r="D95" i="20"/>
  <c r="D94" i="20"/>
  <c r="D93" i="20"/>
  <c r="D92" i="20"/>
  <c r="D91" i="20"/>
  <c r="D90" i="20"/>
  <c r="D89" i="20"/>
  <c r="D88" i="20"/>
  <c r="D87" i="20"/>
  <c r="D86" i="20"/>
  <c r="D85" i="20"/>
  <c r="D84" i="20"/>
  <c r="D83" i="20"/>
  <c r="D82" i="20"/>
  <c r="D81" i="20"/>
  <c r="D80" i="20"/>
  <c r="D79" i="20"/>
  <c r="D156" i="20"/>
  <c r="D157" i="20"/>
  <c r="D158" i="20"/>
  <c r="D159" i="20"/>
  <c r="D160" i="20"/>
  <c r="D161" i="20"/>
  <c r="D155" i="20"/>
  <c r="C156" i="20"/>
  <c r="C157" i="20"/>
  <c r="C158" i="20"/>
  <c r="C159" i="20"/>
  <c r="C160" i="20"/>
  <c r="C161" i="20"/>
  <c r="C155" i="20"/>
  <c r="C64" i="20"/>
  <c r="D64" i="20"/>
  <c r="C65" i="20"/>
  <c r="D65" i="20"/>
  <c r="C66" i="20"/>
  <c r="D66" i="20"/>
  <c r="C67" i="20"/>
  <c r="D67" i="20"/>
  <c r="C68" i="20"/>
  <c r="D68" i="20"/>
  <c r="F108" i="20"/>
  <c r="G108" i="20"/>
  <c r="C108" i="20"/>
  <c r="F107" i="20"/>
  <c r="G107" i="20"/>
  <c r="C107" i="20"/>
  <c r="F106" i="20"/>
  <c r="G106" i="20"/>
  <c r="C106" i="20"/>
  <c r="F105" i="20"/>
  <c r="G105" i="20"/>
  <c r="C105" i="20"/>
  <c r="F104" i="20"/>
  <c r="G104" i="20"/>
  <c r="C104" i="20"/>
  <c r="F103" i="20"/>
  <c r="G103" i="20"/>
  <c r="C103" i="20"/>
  <c r="F102" i="20"/>
  <c r="G102" i="20"/>
  <c r="C102" i="20"/>
  <c r="F101" i="20"/>
  <c r="G101" i="20"/>
  <c r="C101" i="20"/>
  <c r="F100" i="20"/>
  <c r="G100" i="20"/>
  <c r="C100" i="20"/>
  <c r="F99" i="20"/>
  <c r="G99" i="20"/>
  <c r="C99" i="20"/>
  <c r="F98" i="20"/>
  <c r="G98" i="20"/>
  <c r="C98" i="20"/>
  <c r="F97" i="20"/>
  <c r="G97" i="20"/>
  <c r="C97" i="20"/>
  <c r="F96" i="20"/>
  <c r="G96" i="20"/>
  <c r="C96" i="20"/>
  <c r="F95" i="20"/>
  <c r="G95" i="20"/>
  <c r="C95" i="20"/>
  <c r="F94" i="20"/>
  <c r="G94" i="20"/>
  <c r="C94" i="20"/>
  <c r="F93" i="20"/>
  <c r="G93" i="20"/>
  <c r="C93" i="20"/>
  <c r="F92" i="20"/>
  <c r="G92" i="20"/>
  <c r="C92" i="20"/>
  <c r="F91" i="20"/>
  <c r="G91" i="20"/>
  <c r="C91" i="20"/>
  <c r="F90" i="20"/>
  <c r="G90" i="20"/>
  <c r="C90" i="20"/>
  <c r="F89" i="20"/>
  <c r="G89" i="20"/>
  <c r="C89" i="20"/>
  <c r="F88" i="20"/>
  <c r="G88" i="20"/>
  <c r="C88" i="20"/>
  <c r="F87" i="20"/>
  <c r="G87" i="20"/>
  <c r="C87" i="20"/>
  <c r="F86" i="20"/>
  <c r="G86" i="20"/>
  <c r="C86" i="20"/>
  <c r="F85" i="20"/>
  <c r="G85" i="20"/>
  <c r="C85" i="20"/>
  <c r="F84" i="20"/>
  <c r="G84" i="20"/>
  <c r="C84" i="20"/>
  <c r="F83" i="20"/>
  <c r="G83" i="20"/>
  <c r="C83" i="20"/>
  <c r="F82" i="20"/>
  <c r="G82" i="20"/>
  <c r="C82" i="20"/>
  <c r="F81" i="20"/>
  <c r="G81" i="20"/>
  <c r="C81" i="20"/>
  <c r="F80" i="20"/>
  <c r="G80" i="20"/>
  <c r="C80" i="20"/>
  <c r="F79" i="20"/>
  <c r="G79" i="20"/>
  <c r="C79" i="20"/>
  <c r="F78" i="20"/>
  <c r="G78" i="20"/>
  <c r="C78" i="20"/>
  <c r="F77" i="20"/>
  <c r="G77" i="20"/>
  <c r="C77" i="20"/>
  <c r="F76" i="20"/>
  <c r="G76" i="20"/>
  <c r="C76" i="20"/>
  <c r="F75" i="20"/>
  <c r="G75" i="20"/>
  <c r="C75" i="20"/>
  <c r="F74" i="20"/>
  <c r="G74" i="20"/>
  <c r="C74" i="20"/>
  <c r="D54" i="20"/>
  <c r="C54" i="20"/>
  <c r="F1" i="22"/>
  <c r="I1" i="22"/>
  <c r="L1" i="22"/>
  <c r="E2" i="22"/>
  <c r="F2" i="22"/>
  <c r="G2" i="22"/>
  <c r="H2" i="22"/>
  <c r="I2" i="22"/>
  <c r="J2" i="22"/>
  <c r="K2" i="22"/>
  <c r="E3" i="22"/>
  <c r="E4" i="22"/>
  <c r="E5" i="22"/>
  <c r="E6" i="22"/>
  <c r="E7" i="22"/>
  <c r="E8" i="22"/>
  <c r="E9" i="22"/>
  <c r="E10" i="22"/>
  <c r="H37" i="20"/>
  <c r="K9" i="22" s="1"/>
  <c r="G37" i="20"/>
  <c r="J9" i="22" s="1"/>
  <c r="F37" i="20"/>
  <c r="I9" i="22" s="1"/>
  <c r="H36" i="20"/>
  <c r="K8" i="22" s="1"/>
  <c r="G36" i="20"/>
  <c r="J8" i="22" s="1"/>
  <c r="F36" i="20"/>
  <c r="I8" i="22" s="1"/>
  <c r="H35" i="20"/>
  <c r="K7" i="22" s="1"/>
  <c r="G35" i="20"/>
  <c r="J7" i="22" s="1"/>
  <c r="F35" i="20"/>
  <c r="I7" i="22" s="1"/>
  <c r="H34" i="20"/>
  <c r="K6" i="22" s="1"/>
  <c r="G34" i="20"/>
  <c r="J6" i="22" s="1"/>
  <c r="F34" i="20"/>
  <c r="I6" i="22" s="1"/>
  <c r="H33" i="20"/>
  <c r="K5" i="22" s="1"/>
  <c r="G33" i="20"/>
  <c r="J5" i="22" s="1"/>
  <c r="F33" i="20"/>
  <c r="I5" i="22" s="1"/>
  <c r="H32" i="20"/>
  <c r="K4" i="22" s="1"/>
  <c r="G32" i="20"/>
  <c r="J4" i="22" s="1"/>
  <c r="F32" i="20"/>
  <c r="H31" i="20"/>
  <c r="K3" i="22" s="1"/>
  <c r="G31" i="20"/>
  <c r="J3" i="22" s="1"/>
  <c r="F31" i="20"/>
  <c r="I3" i="22" s="1"/>
  <c r="E37" i="20"/>
  <c r="H9" i="22" s="1"/>
  <c r="E36" i="20"/>
  <c r="H8" i="22" s="1"/>
  <c r="E35" i="20"/>
  <c r="H7" i="22" s="1"/>
  <c r="E34" i="20"/>
  <c r="H6" i="22" s="1"/>
  <c r="E33" i="20"/>
  <c r="H5" i="22" s="1"/>
  <c r="E32" i="20"/>
  <c r="H4" i="22" s="1"/>
  <c r="E31" i="20"/>
  <c r="H3" i="22" s="1"/>
  <c r="D37" i="20"/>
  <c r="G9" i="22" s="1"/>
  <c r="D36" i="20"/>
  <c r="G8" i="22" s="1"/>
  <c r="D35" i="20"/>
  <c r="G7" i="22" s="1"/>
  <c r="D34" i="20"/>
  <c r="G6" i="22" s="1"/>
  <c r="D33" i="20"/>
  <c r="G5" i="22" s="1"/>
  <c r="D32" i="20"/>
  <c r="G4" i="22" s="1"/>
  <c r="D31" i="20"/>
  <c r="G3" i="22" s="1"/>
  <c r="C37" i="20"/>
  <c r="F9" i="22" s="1"/>
  <c r="C36" i="20"/>
  <c r="F8" i="22" s="1"/>
  <c r="C35" i="20"/>
  <c r="F7" i="22" s="1"/>
  <c r="C34" i="20"/>
  <c r="F6" i="22" s="1"/>
  <c r="C33" i="20"/>
  <c r="F5" i="22" s="1"/>
  <c r="C32" i="20"/>
  <c r="F4" i="22" s="1"/>
  <c r="C31" i="20"/>
  <c r="F3" i="22" s="1"/>
  <c r="D58" i="20"/>
  <c r="C58" i="20"/>
  <c r="D55" i="20"/>
  <c r="C55" i="20"/>
  <c r="D56" i="20"/>
  <c r="D57" i="20"/>
  <c r="C57" i="20"/>
  <c r="C53" i="20"/>
  <c r="D53" i="20"/>
  <c r="C56" i="20"/>
  <c r="C26" i="20"/>
  <c r="D26" i="20"/>
  <c r="C27" i="20"/>
  <c r="D27" i="20"/>
  <c r="D25" i="20"/>
  <c r="C25" i="20"/>
  <c r="C12" i="20"/>
  <c r="A2" i="22" s="1"/>
  <c r="H2" i="20" a="1"/>
  <c r="H2" i="20" s="1"/>
  <c r="H54" i="21" l="1"/>
  <c r="AL101" i="18"/>
  <c r="AM102" i="18"/>
  <c r="J45" i="19" s="1"/>
  <c r="I45" i="19"/>
  <c r="G52" i="21"/>
  <c r="G73" i="21"/>
  <c r="G75" i="21"/>
  <c r="G78" i="21"/>
  <c r="G81" i="21"/>
  <c r="G66" i="21"/>
  <c r="G54" i="21"/>
  <c r="G55" i="21"/>
  <c r="G77" i="21"/>
  <c r="G71" i="21"/>
  <c r="G69" i="21"/>
  <c r="G58" i="21"/>
  <c r="G61" i="21"/>
  <c r="G59" i="21"/>
  <c r="G65" i="21"/>
  <c r="G57" i="21"/>
  <c r="G70" i="21"/>
  <c r="G67" i="21"/>
  <c r="G74" i="21"/>
  <c r="G80" i="21"/>
  <c r="G68" i="21"/>
  <c r="G53" i="21"/>
  <c r="G62" i="21"/>
  <c r="G72" i="21"/>
  <c r="G64" i="21"/>
  <c r="G56" i="21"/>
  <c r="G76" i="21"/>
  <c r="G79" i="21"/>
  <c r="G60" i="21"/>
  <c r="G63" i="21"/>
  <c r="G36" i="21"/>
  <c r="G8" i="21"/>
  <c r="G25" i="21"/>
  <c r="G27" i="21"/>
  <c r="G26" i="21"/>
  <c r="G19" i="21"/>
  <c r="G9" i="21"/>
  <c r="G35" i="21"/>
  <c r="G28" i="21"/>
  <c r="G10" i="21"/>
  <c r="G20" i="21"/>
  <c r="G31" i="21"/>
  <c r="G29" i="21"/>
  <c r="G32" i="21"/>
  <c r="G24" i="21"/>
  <c r="G15" i="21"/>
  <c r="G30" i="21"/>
  <c r="G14" i="21"/>
  <c r="G13" i="21"/>
  <c r="G12" i="21"/>
  <c r="G34" i="21"/>
  <c r="G18" i="21"/>
  <c r="G22" i="21"/>
  <c r="G21" i="21"/>
  <c r="G33" i="21"/>
  <c r="G17" i="21"/>
  <c r="G16" i="21"/>
  <c r="G23" i="21"/>
  <c r="G11" i="21"/>
  <c r="G7" i="21"/>
  <c r="E235" i="20"/>
  <c r="G235" i="20" s="1"/>
  <c r="E236" i="20"/>
  <c r="G236" i="20" s="1"/>
  <c r="E225" i="20"/>
  <c r="E219" i="20"/>
  <c r="E220" i="20"/>
  <c r="E221" i="20"/>
  <c r="E222" i="20"/>
  <c r="E223" i="20"/>
  <c r="E224" i="20"/>
  <c r="E208" i="20"/>
  <c r="E209" i="20"/>
  <c r="E210" i="20"/>
  <c r="E211" i="20"/>
  <c r="E212" i="20"/>
  <c r="E213" i="20"/>
  <c r="F194" i="20"/>
  <c r="F202" i="20"/>
  <c r="E180" i="20"/>
  <c r="E186" i="20"/>
  <c r="F193" i="20"/>
  <c r="E181" i="20"/>
  <c r="E183" i="20"/>
  <c r="E185" i="20"/>
  <c r="H147" i="20"/>
  <c r="H109" i="20"/>
  <c r="E184" i="20"/>
  <c r="E182" i="20"/>
  <c r="F147" i="20"/>
  <c r="C147" i="20"/>
  <c r="E147" i="20"/>
  <c r="D147" i="20"/>
  <c r="G147" i="20"/>
  <c r="E155" i="20"/>
  <c r="E66" i="20"/>
  <c r="E68" i="20"/>
  <c r="E65" i="20"/>
  <c r="E67" i="20"/>
  <c r="E64" i="20"/>
  <c r="E109" i="20"/>
  <c r="D109" i="20"/>
  <c r="F109" i="20"/>
  <c r="G109" i="20"/>
  <c r="C109" i="20"/>
  <c r="H38" i="20"/>
  <c r="K10" i="22" s="1"/>
  <c r="D38" i="20"/>
  <c r="G10" i="22" s="1"/>
  <c r="F38" i="20"/>
  <c r="I10" i="22" s="1"/>
  <c r="I4" i="22"/>
  <c r="G38" i="20"/>
  <c r="J10" i="22" s="1"/>
  <c r="L9" i="22"/>
  <c r="L8" i="22"/>
  <c r="L7" i="22"/>
  <c r="L6" i="22"/>
  <c r="L5" i="22"/>
  <c r="L4" i="22"/>
  <c r="L3" i="22"/>
  <c r="C38" i="20"/>
  <c r="F10" i="22" s="1"/>
  <c r="E58" i="20"/>
  <c r="E55" i="20"/>
  <c r="E57" i="20"/>
  <c r="E54" i="20"/>
  <c r="E56" i="20"/>
  <c r="E53" i="20"/>
  <c r="H3" i="20" a="1"/>
  <c r="H3" i="20" s="1"/>
  <c r="B3" i="20"/>
  <c r="B2" i="20"/>
  <c r="B1" i="20"/>
  <c r="D12" i="20"/>
  <c r="D13" i="20"/>
  <c r="D14" i="20"/>
  <c r="D15" i="20"/>
  <c r="D16" i="20"/>
  <c r="D17" i="20"/>
  <c r="D18" i="20"/>
  <c r="C13" i="20"/>
  <c r="A3" i="22" s="1"/>
  <c r="C14" i="20"/>
  <c r="A4" i="22" s="1"/>
  <c r="C15" i="20"/>
  <c r="C16" i="20"/>
  <c r="A5" i="22" s="1"/>
  <c r="C17" i="20"/>
  <c r="A6" i="22" s="1"/>
  <c r="C18" i="20"/>
  <c r="A8" i="22" s="1"/>
  <c r="B27" i="16"/>
  <c r="A27" i="16"/>
  <c r="B33" i="16"/>
  <c r="A33" i="16"/>
  <c r="B36" i="16"/>
  <c r="A36" i="16"/>
  <c r="B25" i="16"/>
  <c r="A25" i="16"/>
  <c r="B6" i="16"/>
  <c r="A6" i="16"/>
  <c r="B12" i="16"/>
  <c r="A12" i="16"/>
  <c r="B28" i="16"/>
  <c r="A28" i="16"/>
  <c r="B11" i="16"/>
  <c r="A11" i="16"/>
  <c r="B39" i="16"/>
  <c r="A39" i="16"/>
  <c r="B19" i="16"/>
  <c r="A19" i="16"/>
  <c r="B34" i="16"/>
  <c r="A34" i="16"/>
  <c r="B4" i="16"/>
  <c r="A4" i="16"/>
  <c r="B20" i="16"/>
  <c r="A20" i="16"/>
  <c r="B22" i="16"/>
  <c r="A22" i="16"/>
  <c r="B5" i="16"/>
  <c r="A5" i="16"/>
  <c r="B14" i="16"/>
  <c r="A14" i="16"/>
  <c r="B2" i="16"/>
  <c r="A2" i="16"/>
  <c r="B29" i="16"/>
  <c r="A29" i="16"/>
  <c r="B24" i="16"/>
  <c r="A24" i="16"/>
  <c r="B15" i="16"/>
  <c r="A15" i="16"/>
  <c r="B21" i="16"/>
  <c r="A21" i="16"/>
  <c r="B40" i="16"/>
  <c r="A40" i="16"/>
  <c r="B35" i="16"/>
  <c r="A35" i="16"/>
  <c r="B16" i="16"/>
  <c r="A16" i="16"/>
  <c r="B23" i="16"/>
  <c r="A23" i="16"/>
  <c r="B31" i="16"/>
  <c r="A31" i="16"/>
  <c r="B17" i="16"/>
  <c r="A17" i="16"/>
  <c r="B10" i="16"/>
  <c r="A10" i="16"/>
  <c r="B26" i="16"/>
  <c r="A26" i="16"/>
  <c r="B18" i="16"/>
  <c r="A18" i="16"/>
  <c r="B3" i="16"/>
  <c r="A3" i="16"/>
  <c r="B13" i="16"/>
  <c r="A13" i="16"/>
  <c r="B32" i="16"/>
  <c r="A32" i="16"/>
  <c r="B37" i="16"/>
  <c r="A37" i="16"/>
  <c r="B8" i="16"/>
  <c r="A8" i="16"/>
  <c r="B7" i="16"/>
  <c r="A7" i="16"/>
  <c r="B38" i="16"/>
  <c r="A38" i="16"/>
  <c r="B30" i="16"/>
  <c r="A30" i="16"/>
  <c r="B9" i="16"/>
  <c r="A9" i="16"/>
  <c r="C4" i="19"/>
  <c r="C3" i="19"/>
  <c r="C2" i="19"/>
  <c r="C1" i="19"/>
  <c r="AM101" i="18" l="1"/>
  <c r="J44" i="19" s="1"/>
  <c r="I44" i="19"/>
  <c r="U54" i="21"/>
  <c r="U53" i="21"/>
  <c r="U55" i="21"/>
  <c r="U52" i="21"/>
  <c r="U5" i="21"/>
  <c r="U6" i="21"/>
  <c r="U7" i="21"/>
  <c r="U8" i="21"/>
  <c r="F236" i="20"/>
  <c r="F235" i="20"/>
  <c r="F192" i="20"/>
  <c r="F64" i="20"/>
  <c r="F157" i="20"/>
  <c r="H155" i="20"/>
  <c r="G157" i="20"/>
  <c r="E156" i="20"/>
  <c r="H156" i="20" s="1"/>
  <c r="G156" i="20"/>
  <c r="G155" i="20"/>
  <c r="F155" i="20"/>
  <c r="F156" i="20"/>
  <c r="G64" i="20"/>
  <c r="F68" i="20"/>
  <c r="H64" i="20"/>
  <c r="F67" i="20"/>
  <c r="G67" i="20"/>
  <c r="F66" i="20"/>
  <c r="H65" i="20"/>
  <c r="G68" i="20"/>
  <c r="H67" i="20"/>
  <c r="G66" i="20"/>
  <c r="F65" i="20"/>
  <c r="H68" i="20"/>
  <c r="G65" i="20"/>
  <c r="H66" i="20"/>
  <c r="E38" i="20"/>
  <c r="D24" i="20"/>
  <c r="E27" i="20"/>
  <c r="E25" i="20"/>
  <c r="E18" i="20"/>
  <c r="E13" i="20"/>
  <c r="E17" i="20"/>
  <c r="E16" i="20"/>
  <c r="E14" i="20"/>
  <c r="E12" i="20"/>
  <c r="D11" i="20"/>
  <c r="E15" i="20"/>
  <c r="C11" i="20"/>
  <c r="E157" i="20" l="1"/>
  <c r="H157" i="20" s="1"/>
  <c r="G158" i="20"/>
  <c r="G159" i="20"/>
  <c r="L10" i="22"/>
  <c r="H10" i="22"/>
  <c r="E11" i="20"/>
  <c r="H235" i="20" l="1"/>
  <c r="H236" i="20"/>
  <c r="F225" i="20"/>
  <c r="G225" i="20"/>
  <c r="G219" i="20"/>
  <c r="G223" i="20"/>
  <c r="F221" i="20"/>
  <c r="G222" i="20"/>
  <c r="F222" i="20"/>
  <c r="F219" i="20"/>
  <c r="G220" i="20"/>
  <c r="G224" i="20"/>
  <c r="F220" i="20"/>
  <c r="F224" i="20"/>
  <c r="F223" i="20"/>
  <c r="G221" i="20"/>
  <c r="G213" i="20"/>
  <c r="F209" i="20"/>
  <c r="G209" i="20"/>
  <c r="F208" i="20"/>
  <c r="F212" i="20"/>
  <c r="G212" i="20"/>
  <c r="F211" i="20"/>
  <c r="G211" i="20"/>
  <c r="F210" i="20"/>
  <c r="F213" i="20"/>
  <c r="G208" i="20"/>
  <c r="G210" i="20"/>
  <c r="G182" i="20"/>
  <c r="G183" i="20"/>
  <c r="G185" i="20"/>
  <c r="G180" i="20"/>
  <c r="G186" i="20"/>
  <c r="G181" i="20"/>
  <c r="G184" i="20"/>
  <c r="F184" i="20"/>
  <c r="F182" i="20"/>
  <c r="F181" i="20"/>
  <c r="F183" i="20"/>
  <c r="F185" i="20"/>
  <c r="F180" i="20"/>
  <c r="F186" i="20"/>
  <c r="F158" i="20"/>
  <c r="E158" i="20"/>
  <c r="H158" i="20" s="1"/>
  <c r="C46" i="20"/>
  <c r="C43" i="20"/>
  <c r="C41" i="20"/>
  <c r="C40" i="20"/>
  <c r="F41" i="20"/>
  <c r="D42" i="20"/>
  <c r="E40" i="20"/>
  <c r="E46" i="20"/>
  <c r="F45" i="20"/>
  <c r="G43" i="20"/>
  <c r="H41" i="20"/>
  <c r="F46" i="20"/>
  <c r="C45" i="20"/>
  <c r="D45" i="20"/>
  <c r="E43" i="20"/>
  <c r="F42" i="20"/>
  <c r="G40" i="20"/>
  <c r="G46" i="20"/>
  <c r="H44" i="20"/>
  <c r="D41" i="20"/>
  <c r="F44" i="20"/>
  <c r="G42" i="20"/>
  <c r="H40" i="20"/>
  <c r="H46" i="20"/>
  <c r="C44" i="20"/>
  <c r="D44" i="20"/>
  <c r="E42" i="20"/>
  <c r="F40" i="20"/>
  <c r="G45" i="20"/>
  <c r="H43" i="20"/>
  <c r="D40" i="20"/>
  <c r="D46" i="20"/>
  <c r="E44" i="20"/>
  <c r="F43" i="20"/>
  <c r="G41" i="20"/>
  <c r="H45" i="20"/>
  <c r="E45" i="20"/>
  <c r="C42" i="20"/>
  <c r="D43" i="20"/>
  <c r="E41" i="20"/>
  <c r="G44" i="20"/>
  <c r="H42" i="20"/>
  <c r="F55" i="20"/>
  <c r="G55" i="20"/>
  <c r="F58" i="20"/>
  <c r="G58" i="20"/>
  <c r="F57" i="20"/>
  <c r="F54" i="20"/>
  <c r="G57" i="20"/>
  <c r="G54" i="20"/>
  <c r="A11" i="22"/>
  <c r="F53" i="20"/>
  <c r="B11" i="22"/>
  <c r="G24" i="20"/>
  <c r="F56" i="20"/>
  <c r="G56" i="20"/>
  <c r="G53" i="20"/>
  <c r="G25" i="20"/>
  <c r="F26" i="20"/>
  <c r="F25" i="20"/>
  <c r="G27" i="20"/>
  <c r="F27" i="20"/>
  <c r="G26" i="20"/>
  <c r="H11" i="20"/>
  <c r="G12" i="20"/>
  <c r="G15" i="20"/>
  <c r="F13" i="20"/>
  <c r="F11" i="20"/>
  <c r="G16" i="20"/>
  <c r="F14" i="20"/>
  <c r="G17" i="20"/>
  <c r="F15" i="20"/>
  <c r="G18" i="20"/>
  <c r="F16" i="20"/>
  <c r="G13" i="20"/>
  <c r="G11" i="20"/>
  <c r="F17" i="20"/>
  <c r="G14" i="20"/>
  <c r="F12" i="20"/>
  <c r="F18" i="20"/>
  <c r="H13" i="20"/>
  <c r="H15" i="20"/>
  <c r="H16" i="20"/>
  <c r="H17" i="20"/>
  <c r="H14" i="20"/>
  <c r="H12" i="20"/>
  <c r="H18" i="20"/>
  <c r="H222" i="20" l="1"/>
  <c r="H223" i="20"/>
  <c r="H224" i="20"/>
  <c r="H219" i="20"/>
  <c r="H225" i="20"/>
  <c r="H220" i="20"/>
  <c r="H221" i="20"/>
  <c r="H209" i="20"/>
  <c r="H213" i="20"/>
  <c r="H208" i="20"/>
  <c r="H211" i="20"/>
  <c r="H212" i="20"/>
  <c r="H210" i="20"/>
  <c r="H184" i="20"/>
  <c r="H182" i="20"/>
  <c r="H186" i="20"/>
  <c r="H180" i="20"/>
  <c r="H185" i="20"/>
  <c r="H183" i="20"/>
  <c r="H181" i="20"/>
  <c r="F159" i="20"/>
  <c r="E159" i="20"/>
  <c r="H159" i="20" s="1"/>
  <c r="G160" i="20"/>
  <c r="C47" i="20"/>
  <c r="H47" i="20"/>
  <c r="G47" i="20"/>
  <c r="F47" i="20"/>
  <c r="D47" i="20"/>
  <c r="E47" i="20"/>
  <c r="F160" i="20"/>
  <c r="G161" i="20"/>
  <c r="C11" i="22"/>
  <c r="C12" i="22" s="1"/>
  <c r="E160" i="20" l="1"/>
  <c r="H160" i="20" s="1"/>
  <c r="E161" i="20"/>
  <c r="H161" i="20" s="1"/>
  <c r="F161" i="20"/>
  <c r="A12" i="22"/>
  <c r="B12" i="22"/>
  <c r="C24" i="20" l="1"/>
  <c r="E26" i="20"/>
  <c r="E24" i="20" l="1"/>
  <c r="H55" i="20" s="1"/>
  <c r="F24" i="20"/>
  <c r="H58" i="20" l="1"/>
  <c r="H54" i="20"/>
  <c r="H57" i="20"/>
  <c r="H24" i="20"/>
  <c r="H56" i="20"/>
  <c r="H53" i="20"/>
  <c r="H26" i="20"/>
  <c r="H25" i="20"/>
  <c r="H27" i="20"/>
  <c r="K29" i="14"/>
  <c r="M19" i="14" s="1"/>
  <c r="M24" i="14" l="1"/>
  <c r="M20" i="14"/>
  <c r="M25" i="14"/>
  <c r="M15" i="14"/>
  <c r="M23" i="14"/>
  <c r="M21" i="14"/>
  <c r="M18" i="14"/>
  <c r="M17" i="14"/>
  <c r="M14" i="14"/>
  <c r="M16" i="14"/>
  <c r="M26" i="14"/>
  <c r="M22"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<sst xmlns="http://schemas.openxmlformats.org/spreadsheetml/2006/main" count="1991" uniqueCount="492">
  <si>
    <t>Evaluation de l'information et des connaissances des patients porteur d'un Dispositif Médical Implantable (DMI)</t>
  </si>
  <si>
    <t>V1-septembre 2025</t>
  </si>
  <si>
    <r>
      <t>Guide d'utilisation de la grille de l'audit</t>
    </r>
    <r>
      <rPr>
        <b/>
        <sz val="11"/>
        <color rgb="FF034EA2"/>
        <rFont val="Segoe UI Emoji"/>
        <family val="2"/>
      </rPr>
      <t xml:space="preserve"> :</t>
    </r>
  </si>
  <si>
    <t>Un responsable du système de management de la qualité du circuit des DMI est désigné par le directeur de l'établissement conjointement avec le président de CME.</t>
  </si>
  <si>
    <t>Une procédure portant sur la traçabilité sanitaire des DMI est formalisée dans l'établissement.</t>
  </si>
  <si>
    <t>Spécialité chirugicale en charge de la pose d'implant</t>
  </si>
  <si>
    <t>Numéro de référence du chirurgien</t>
  </si>
  <si>
    <t>Nombre de dossiers à auditer (formule automatique)</t>
  </si>
  <si>
    <t>Numéro de référence traceuse</t>
  </si>
  <si>
    <t>Libellé du DMI</t>
  </si>
  <si>
    <t>Fabriquant / Fournisseur</t>
  </si>
  <si>
    <t>Modalité de gestion</t>
  </si>
  <si>
    <t>Chirurgie orthopédique et traumatique</t>
  </si>
  <si>
    <t>DMI 1</t>
  </si>
  <si>
    <t>DMI 2</t>
  </si>
  <si>
    <t>Chirurgie ophtalmique</t>
  </si>
  <si>
    <t>DMI 3</t>
  </si>
  <si>
    <t>DMI 4</t>
  </si>
  <si>
    <t>DMI 5</t>
  </si>
  <si>
    <t>DMI 6</t>
  </si>
  <si>
    <t>DMI 7</t>
  </si>
  <si>
    <t>DMI 8</t>
  </si>
  <si>
    <t>DMI 9</t>
  </si>
  <si>
    <t>DMI 10</t>
  </si>
  <si>
    <t>Paramètre</t>
  </si>
  <si>
    <t>Valeur</t>
  </si>
  <si>
    <t>Total dossiers éligibles par an (colonne C)</t>
  </si>
  <si>
    <t>Total de dossiers à auditer par an</t>
  </si>
  <si>
    <t>Patient 1</t>
  </si>
  <si>
    <t>Patient 2</t>
  </si>
  <si>
    <t>Patient 3</t>
  </si>
  <si>
    <t>Patient 4</t>
  </si>
  <si>
    <t>Patient 5</t>
  </si>
  <si>
    <t>Patient 6</t>
  </si>
  <si>
    <t>Patient 7</t>
  </si>
  <si>
    <t>Patient 8</t>
  </si>
  <si>
    <t>Patient 9</t>
  </si>
  <si>
    <t>Patient 10</t>
  </si>
  <si>
    <t>Patient 11</t>
  </si>
  <si>
    <t>Patient 12</t>
  </si>
  <si>
    <t>Patient 13</t>
  </si>
  <si>
    <t>Patient 14</t>
  </si>
  <si>
    <t>Patient 15</t>
  </si>
  <si>
    <t>Patient 16</t>
  </si>
  <si>
    <t>Patient 17</t>
  </si>
  <si>
    <t>Patient 18</t>
  </si>
  <si>
    <t>Patient 19</t>
  </si>
  <si>
    <t>Patient 20</t>
  </si>
  <si>
    <t>Patient 21</t>
  </si>
  <si>
    <t>Patient 22</t>
  </si>
  <si>
    <t>Patient 23</t>
  </si>
  <si>
    <t>Patient 24</t>
  </si>
  <si>
    <t>Patient 25</t>
  </si>
  <si>
    <t>Patient 26</t>
  </si>
  <si>
    <t>Patient 27</t>
  </si>
  <si>
    <t>Patient 28</t>
  </si>
  <si>
    <t>Patient 29</t>
  </si>
  <si>
    <t>Patient 30</t>
  </si>
  <si>
    <t>Numéro de référence du chirurgien (cf. onglet "Périmètre")</t>
  </si>
  <si>
    <t>Numéro de référence traceuse (cf. onglet "Périmètre")</t>
  </si>
  <si>
    <t>Effectifs</t>
  </si>
  <si>
    <t>Total</t>
  </si>
  <si>
    <t>Si oui, précisez</t>
  </si>
  <si>
    <t>Autre (à préciser)</t>
  </si>
  <si>
    <t>Mes avis et suggestions</t>
  </si>
  <si>
    <t>14. Satisfaction globale</t>
  </si>
  <si>
    <t>15. Souhait d'information(s) complémentaire(s)</t>
  </si>
  <si>
    <t>16. Suggestions d’amélioration</t>
  </si>
  <si>
    <r>
      <t xml:space="preserve">Traçabilité par la PUI 
</t>
    </r>
    <r>
      <rPr>
        <i/>
        <sz val="9"/>
        <color rgb="FF034EA2"/>
        <rFont val="Segoe UI Emoji"/>
        <family val="2"/>
      </rPr>
      <t>(ou par la personne en charge des commandes/gestion des stocks pour les ETS sans PUI)</t>
    </r>
  </si>
  <si>
    <t>Date de réception du DMI</t>
  </si>
  <si>
    <t>Identification unique de dispositif (IUD)*</t>
  </si>
  <si>
    <t>Identification du DMI : dénomination (nom, référence catalogue)</t>
  </si>
  <si>
    <t>Identification du DMI : numéro de série ou de lot</t>
  </si>
  <si>
    <t>Identification du DMI : nom du fabricant ou de son mandataire</t>
  </si>
  <si>
    <t>Identification du DMI : dimensions cliniques</t>
  </si>
  <si>
    <t>Identification du DMI : date d'expiration</t>
  </si>
  <si>
    <t>Date de délivrance du DMI au service utilisateur</t>
  </si>
  <si>
    <t>Identification du service utilisateur</t>
  </si>
  <si>
    <t xml:space="preserve">Traçabilité par le service utilisateur </t>
  </si>
  <si>
    <t>Date de réception du DMI**</t>
  </si>
  <si>
    <t>Date d’utilisation du DMI</t>
  </si>
  <si>
    <t>Identification du patient : sexe, nom et prénom</t>
  </si>
  <si>
    <t>Identification du patient : date de naissance</t>
  </si>
  <si>
    <t>Identification du professionnel de santé utilisateur : nom et prénom</t>
  </si>
  <si>
    <t>Identification du professionnel de santé utilisateur : RPPS</t>
  </si>
  <si>
    <t>Traçabilité de l'information au patient dans le dossier patient informatisé</t>
  </si>
  <si>
    <t>Date et lieu d’utilisation (service/ETS)</t>
  </si>
  <si>
    <t>Durée de vie prévue du dispositif et suivi éventuel</t>
  </si>
  <si>
    <t>Mises en garde, précautions ou mesures à prendre par le patient ou le professionnel de santé*</t>
  </si>
  <si>
    <t>Transmission de l'information au patient</t>
  </si>
  <si>
    <t>Traçabilité dans la lettre de liaison</t>
  </si>
  <si>
    <t>Conformité de la traçabilité</t>
  </si>
  <si>
    <t>Traçabilité par la PUI</t>
  </si>
  <si>
    <t>Traçabilité par le service utilisateur</t>
  </si>
  <si>
    <t>Traçabilité au sein de l'établissement</t>
  </si>
  <si>
    <t>Traçabilité de l'information patient dans le dossier patient informatisé</t>
  </si>
  <si>
    <t>Traçabilité de l'information patient dans la lettre de liaison</t>
  </si>
  <si>
    <t>-</t>
  </si>
  <si>
    <t>Traçabilité globale</t>
  </si>
  <si>
    <t>*
**
***</t>
  </si>
  <si>
    <t>pour les DMI certifiés conformément au règlement européen UE 2017/745
pour les DMI en dépôt
selon les dispositions règlementaires en vigueur</t>
  </si>
  <si>
    <t>Oui</t>
  </si>
  <si>
    <t>Achat</t>
  </si>
  <si>
    <t>Intra-GHS</t>
  </si>
  <si>
    <t>Non</t>
  </si>
  <si>
    <t>Dépôt</t>
  </si>
  <si>
    <t>Hors GHS</t>
  </si>
  <si>
    <t>Chirurgie digestive et viscérale</t>
  </si>
  <si>
    <t>Chirurgie plastique, reconstructrice et esthétique</t>
  </si>
  <si>
    <t>Chirurgie thoracique</t>
  </si>
  <si>
    <t>Chirurgie urologique et gynécologique</t>
  </si>
  <si>
    <t>Neurochirurgie</t>
  </si>
  <si>
    <t>Radiologie interventionnelle</t>
  </si>
  <si>
    <t>Stomatologie et chirurgie dentaire</t>
  </si>
  <si>
    <t>Conformité de la traçabilité : Tableau des résultats</t>
  </si>
  <si>
    <t>Critères</t>
  </si>
  <si>
    <t>Pourcentages</t>
  </si>
  <si>
    <r>
      <rPr>
        <sz val="10"/>
        <color rgb="FF034EA2"/>
        <rFont val="Calibri"/>
        <family val="2"/>
        <scheme val="minor"/>
      </rPr>
      <t xml:space="preserve">Traçabilité par la PUI </t>
    </r>
    <r>
      <rPr>
        <sz val="9"/>
        <color rgb="FF034EA2"/>
        <rFont val="Calibri"/>
        <family val="2"/>
        <scheme val="minor"/>
      </rPr>
      <t xml:space="preserve">
(ou par la personne en charge des commandes/gestion des stocks pour les ETS sans PUI)</t>
    </r>
  </si>
  <si>
    <t>PUI - Date de réception du DMI</t>
  </si>
  <si>
    <t>PUI - Identifiant unique de dispositif (IUD)</t>
  </si>
  <si>
    <t>PUI - Identification de chaque DMI : dénomination</t>
  </si>
  <si>
    <t>PUI - Identification de chaque DMI : numéro de série ou de lot</t>
  </si>
  <si>
    <t>PUI - Identification de chaque DMI : nom du fabricant ou de son mandataire</t>
  </si>
  <si>
    <t>PUI - Identification de chaque DMI : dimensions cliniques</t>
  </si>
  <si>
    <t>PUI - Identification de chaque DMI : date d'expiration</t>
  </si>
  <si>
    <t>PUI - Date de délivrance du DMI au service utilisateur et quantité délivrée</t>
  </si>
  <si>
    <t>PUI - Identification du service utilisateur</t>
  </si>
  <si>
    <t>Service - Date de réception du DMI</t>
  </si>
  <si>
    <t>Service - Date d’utilisation du DMI</t>
  </si>
  <si>
    <t>Service - Identification du patient : sexe, nom et prénom</t>
  </si>
  <si>
    <t>Service - Identification du patient : date de naissance</t>
  </si>
  <si>
    <t>Service - Identification du professionnel de santé utilisateur : nom et prénom</t>
  </si>
  <si>
    <t>Service - Identification du professionnel de santé utilisateur : RPPS</t>
  </si>
  <si>
    <t>Identifiant unique des dispositifs (IUD)</t>
  </si>
  <si>
    <t>Identification du DMI : dénomination</t>
  </si>
  <si>
    <t>Mises en garde, précautions ou mesures à prendre par le patient ou le professionnel de santé</t>
  </si>
  <si>
    <t>Carte d'implant</t>
  </si>
  <si>
    <t>Traçabilité dans le dossier médical partagé, le cas échéant</t>
  </si>
  <si>
    <t>Traçabilité dans le dossier pharmaceutique, le cas échéant</t>
  </si>
  <si>
    <t>Conformité de la traçabilité : Graphiques</t>
  </si>
  <si>
    <t xml:space="preserve">Traçabilité par la PUI </t>
  </si>
  <si>
    <t>&lt;1mois</t>
  </si>
  <si>
    <t>N/A</t>
  </si>
  <si>
    <t>Mammaire</t>
  </si>
  <si>
    <t>Autre, Précisez</t>
  </si>
  <si>
    <t>Autres. Précisez</t>
  </si>
  <si>
    <t>Ophtalmique</t>
  </si>
  <si>
    <t>Je ne sais plus</t>
  </si>
  <si>
    <t>Liste 1</t>
  </si>
  <si>
    <t>Liste 2</t>
  </si>
  <si>
    <t>Ne se prononce pas</t>
  </si>
  <si>
    <t>Sexe</t>
  </si>
  <si>
    <t>Femme</t>
  </si>
  <si>
    <t>Homme</t>
  </si>
  <si>
    <t>Tranche d'âge</t>
  </si>
  <si>
    <t>Liste 3</t>
  </si>
  <si>
    <t>Spécialité chirugicale</t>
  </si>
  <si>
    <t>[0 - 1 mois[</t>
  </si>
  <si>
    <t>[1 - 3 mois[</t>
  </si>
  <si>
    <t>[3 - 6 mois[</t>
  </si>
  <si>
    <t>[6 mois - 1 an[</t>
  </si>
  <si>
    <t>[1 an et plus[</t>
  </si>
  <si>
    <t>Liste 4</t>
  </si>
  <si>
    <t>Liste 5</t>
  </si>
  <si>
    <t>En urgence</t>
  </si>
  <si>
    <t>Programmée</t>
  </si>
  <si>
    <t>Nature implant</t>
  </si>
  <si>
    <t>Plutôt oui</t>
  </si>
  <si>
    <t>Informations sur sa carte de porteur d'implant</t>
  </si>
  <si>
    <t>Informations remises sur son implant</t>
  </si>
  <si>
    <t>Finess</t>
  </si>
  <si>
    <t>Nom de l'établissement</t>
  </si>
  <si>
    <t>Référent de projet</t>
  </si>
  <si>
    <t xml:space="preserve">Etablissement  </t>
  </si>
  <si>
    <t xml:space="preserve">Date de l'audit </t>
  </si>
  <si>
    <t xml:space="preserve">Objectifs fixés </t>
  </si>
  <si>
    <t xml:space="preserve">Actions mises en œuvre </t>
  </si>
  <si>
    <t xml:space="preserve">Niveau de priorité </t>
  </si>
  <si>
    <t xml:space="preserve">Responsable </t>
  </si>
  <si>
    <t xml:space="preserve">Échéance </t>
  </si>
  <si>
    <t xml:space="preserve">Indicateurs d’évaluation </t>
  </si>
  <si>
    <t xml:space="preserve">Etat d'avancement </t>
  </si>
  <si>
    <t xml:space="preserve">Date </t>
  </si>
  <si>
    <t>Nom/prénom du référent de projet</t>
  </si>
  <si>
    <t>Mail du référent de projet</t>
  </si>
  <si>
    <t>Numéro Finess</t>
  </si>
  <si>
    <t>Raison Sociale</t>
  </si>
  <si>
    <t>Classe d'âge</t>
  </si>
  <si>
    <t>Tout âge confondu</t>
  </si>
  <si>
    <t>Nombre de patients</t>
  </si>
  <si>
    <t xml:space="preserve">[70 ans et +[ </t>
  </si>
  <si>
    <t>[  0 - 14 ans]</t>
  </si>
  <si>
    <t>[15 - 19 ans]</t>
  </si>
  <si>
    <t>[20 - 29 ans]</t>
  </si>
  <si>
    <t>[30 - 39 ans]</t>
  </si>
  <si>
    <t>[50 - 59 ans]</t>
  </si>
  <si>
    <t>[60 - 69 ans]</t>
  </si>
  <si>
    <t>Nombre d'implants</t>
  </si>
  <si>
    <t>DMI 11</t>
  </si>
  <si>
    <t>DMI 12</t>
  </si>
  <si>
    <t>DMI 13</t>
  </si>
  <si>
    <t>DMI 14</t>
  </si>
  <si>
    <t>DMI 15</t>
  </si>
  <si>
    <t>DMI 16</t>
  </si>
  <si>
    <t>DMI 17</t>
  </si>
  <si>
    <t>DMI 18</t>
  </si>
  <si>
    <t>DMI 19</t>
  </si>
  <si>
    <t>DMI 20</t>
  </si>
  <si>
    <t>DMI 21</t>
  </si>
  <si>
    <t>DMI 22</t>
  </si>
  <si>
    <t>DMI 23</t>
  </si>
  <si>
    <t>DMI 24</t>
  </si>
  <si>
    <t>DMI 25</t>
  </si>
  <si>
    <t>DMI 26</t>
  </si>
  <si>
    <t>DMI 27</t>
  </si>
  <si>
    <t>DMI 28</t>
  </si>
  <si>
    <t>DMI 29</t>
  </si>
  <si>
    <t>DMI 30</t>
  </si>
  <si>
    <t>Liste des implants identifiés sur la base des données déclarées par le patient (période de pose, nature de l'implant)</t>
  </si>
  <si>
    <t>Clé de répartition (facultatif)</t>
  </si>
  <si>
    <t>9.1.2 Nature des matériaux</t>
  </si>
  <si>
    <t>14.3  : Date d’implantation</t>
  </si>
  <si>
    <t>14.5  : Coordonnées de l’établissement</t>
  </si>
  <si>
    <t>14.6  : Je ne sais pas</t>
  </si>
  <si>
    <t>3 et +</t>
  </si>
  <si>
    <t>Pourcentage</t>
  </si>
  <si>
    <t>Patients</t>
  </si>
  <si>
    <t>Etablissement</t>
  </si>
  <si>
    <t>Plutôt non</t>
  </si>
  <si>
    <t>Cardiovasculaire</t>
  </si>
  <si>
    <t>Dentaire</t>
  </si>
  <si>
    <t>Orthopédique/Articulaire</t>
  </si>
  <si>
    <t>14.2 : Nom / adresse / site internet du fabricant</t>
  </si>
  <si>
    <t>14.4  : Nom du médecin implanteur</t>
  </si>
  <si>
    <t>Facteurs facilitants et freins à la compréhension</t>
  </si>
  <si>
    <t>Nom établissement</t>
  </si>
  <si>
    <t>Identification de l'implant posé</t>
  </si>
  <si>
    <t>Nombre d’implants posés déclarés par le patient</t>
  </si>
  <si>
    <t>Pose en urgence</t>
  </si>
  <si>
    <t>Pose programmée</t>
  </si>
  <si>
    <t>Freins identifiés à la compréhension et la mémorisation</t>
  </si>
  <si>
    <t>Aides identifiés à la compréhension et la mémorisation</t>
  </si>
  <si>
    <t>Délai depuis la pose</t>
  </si>
  <si>
    <t>Caractéristiques sociodémographiques</t>
  </si>
  <si>
    <t>Nombre, déclaré, d'implants posés par patient</t>
  </si>
  <si>
    <t>Gynécologique / Urinaire</t>
  </si>
  <si>
    <t>Nombre d’implants posés</t>
  </si>
  <si>
    <t>Délai de pose</t>
  </si>
  <si>
    <t>Aides et freins identifiés à la compréhension et à la mémorisation des informations</t>
  </si>
  <si>
    <t>PROFILS DES PATIENTS PORTEURS DE DMI INTEGRES A L'ENQUETE</t>
  </si>
  <si>
    <t>Nature de l'implant déclarée</t>
  </si>
  <si>
    <t>Orthopédique / Articulaire</t>
  </si>
  <si>
    <t>Si autre : préciser</t>
  </si>
  <si>
    <t>10.1 Carte Implant du fabricant</t>
  </si>
  <si>
    <t>10.5 Lettre de liaison</t>
  </si>
  <si>
    <t>10.6 Autre (à préciser)</t>
  </si>
  <si>
    <t>Carte Implant du fabricant</t>
  </si>
  <si>
    <t>Lettre de liaison</t>
  </si>
  <si>
    <t>Document informatif institutionnel</t>
  </si>
  <si>
    <t>Document informatif du fabricant</t>
  </si>
  <si>
    <t>Document de traçabilité institutionnel</t>
  </si>
  <si>
    <t>Autre</t>
  </si>
  <si>
    <t>Aucun document remis</t>
  </si>
  <si>
    <t>Liste des documents remis mentionnés par le patient</t>
  </si>
  <si>
    <t>10.2 Document de traçabilité institutionnel</t>
  </si>
  <si>
    <t>10.3 Document informatif du fabricant</t>
  </si>
  <si>
    <t>10.4 Document informatif institutionnel</t>
  </si>
  <si>
    <t>10.7 Aucun document remis</t>
  </si>
  <si>
    <t xml:space="preserve"> Information reçue et comprise lors de l’hospitalisation pour la pose de l’implant</t>
  </si>
  <si>
    <t>9.1.1 Bénéfices attendus, rôle et fonctionnement</t>
  </si>
  <si>
    <t>Nature des matériaux</t>
  </si>
  <si>
    <t>9.1.3 Durée de vie ou de pose</t>
  </si>
  <si>
    <t>Durée de vie ou de pose</t>
  </si>
  <si>
    <t xml:space="preserve">9.1.5 Suivi médical post implantation nécessaire (radiographie, examen, consultation ...) </t>
  </si>
  <si>
    <t>9.2 Risques, Précautions particulières et Conduites à tenir concernant</t>
  </si>
  <si>
    <t>9.2.1 Les complications possibles immédiates ou à distance</t>
  </si>
  <si>
    <t>9.2.4 La vie quotidienne ou les interférence avec l'environnement</t>
  </si>
  <si>
    <t>9.2.3 Certaines activités professionnelles</t>
  </si>
  <si>
    <t>9.2.5 La réalisation de certains examens d'imagerie (IRM ou autre)</t>
  </si>
  <si>
    <t>9.2.6 Le recours à certaines techniques chirurgicales (électrochirurgie)</t>
  </si>
  <si>
    <t>9.2.7 Le(s) contact(s) utile(s) en cas de question ou de complications</t>
  </si>
  <si>
    <t>Bénéfices, rôle et fonctionnement</t>
  </si>
  <si>
    <t>9.1.4 Principales étapes de pose lors de l’intervention chirurgicale</t>
  </si>
  <si>
    <t>Etapes de pose</t>
  </si>
  <si>
    <t>Suivi médical post implantation</t>
  </si>
  <si>
    <t>Complications possibles</t>
  </si>
  <si>
    <t>Activités professionnelles</t>
  </si>
  <si>
    <t>Vie quotidienne / Environnement</t>
  </si>
  <si>
    <t>Examens d'imagerie</t>
  </si>
  <si>
    <t>Recours à certaines techniques chirurgicales</t>
  </si>
  <si>
    <t>Le(s) contact(s) utile(s)</t>
  </si>
  <si>
    <t>Accord de soins écrit et signé</t>
  </si>
  <si>
    <t>Chirurgie cardio-vasculaire &amp; Cardiologie interventionnelle</t>
  </si>
  <si>
    <t>Outil intégrant la V4-octobre 2024 de la grille d'audit de traçabilité des OMéDIT Normandie et Pays de la Loiré, réalisé à partir d'un outil de l'OMéDIT Ile de France</t>
  </si>
  <si>
    <t>Pose de l'implant programmée</t>
  </si>
  <si>
    <t>Pose de l'implant réalisée en urgence</t>
  </si>
  <si>
    <t>Traçabilité &amp; DMP</t>
  </si>
  <si>
    <t>Contenu de la carte implant</t>
  </si>
  <si>
    <t>Rôle de la carte implant</t>
  </si>
  <si>
    <t>Prévenir les soignants</t>
  </si>
  <si>
    <t>OUI</t>
  </si>
  <si>
    <t>NON</t>
  </si>
  <si>
    <t>TOTAL</t>
  </si>
  <si>
    <t>l'implant</t>
  </si>
  <si>
    <t>risques, précautions et conduite à tenir</t>
  </si>
  <si>
    <t>Consentement, accès aux données et signalement de l’implant aux soignants</t>
  </si>
  <si>
    <t>informations sur implant</t>
  </si>
  <si>
    <t>1. Avez-vous une expérience professionnelle ou associative dans le domaine de la santé ?</t>
  </si>
  <si>
    <t>2. Présentez-vous un handicap particulier (auditif, visuel, cognitif ...) qui pourrait gêner votre compréhension ou la mémorisation de certaines informations ?</t>
  </si>
  <si>
    <t>3. Indiquez le nombre d’implants ℹ️ dont vous êtes porteur en tout :</t>
  </si>
  <si>
    <t xml:space="preserve">4. Pourriez-vous préciser la nature de l’implant pour lequel vous avez rendez-vous aujourd’hui ? </t>
  </si>
  <si>
    <t>5. Cet implant a-t-il été posé au sein de notre établissement ?</t>
  </si>
  <si>
    <t>6. Quand a eu lieu la pose de cet implant ?</t>
  </si>
  <si>
    <t>7.  La pose de cet implant a-t-elle été programmée ou réalisée en urgence?</t>
  </si>
  <si>
    <t>8. Avez-vous eu le temps de donner votre consentement écrit et signé avant son implantation ?</t>
  </si>
  <si>
    <t>Patient</t>
  </si>
  <si>
    <t xml:space="preserve">9.  Lors de votre hospitalisation pour la pose de votre implant, avez-vous bien reçu et compris les informations concernant </t>
  </si>
  <si>
    <t>Expérience professionnelle ou associative en santé</t>
  </si>
  <si>
    <t>Cumul : handicap &amp; pose en urgence</t>
  </si>
  <si>
    <t>Cumul : expérience en santé &amp; pose programmée</t>
  </si>
  <si>
    <t>Processus conforme</t>
  </si>
  <si>
    <t>Présence d'un handicap particulier</t>
  </si>
  <si>
    <t xml:space="preserve"> Liste des documents remis identifiés par le patient</t>
  </si>
  <si>
    <t>Souvenir d'une information sur l'accès aux données dans le DMP</t>
  </si>
  <si>
    <t>Souvenir d'un consentement écrit et signé</t>
  </si>
  <si>
    <t>Souvenir d'une information sur l'importance de signaler l’implant aux soignants</t>
  </si>
  <si>
    <t>CONNAISSANCES &amp; SATISFACTION PATIENT SUR LES INFORMATION EN LIEN AVEC L'IMPLANT</t>
  </si>
  <si>
    <t>CONNAISSANCES DU PATIENT SUR LA CARTE IMPLANT (ou document équivalent)</t>
  </si>
  <si>
    <t>Document en possession du patient le jour de l'enquête</t>
  </si>
  <si>
    <t>Echelle de Compréhension/Satisfaction</t>
  </si>
  <si>
    <t>Posseion de la carte</t>
  </si>
  <si>
    <t>Non : jamais reçue</t>
  </si>
  <si>
    <t>Jamais reçue</t>
  </si>
  <si>
    <t xml:space="preserve"> Carte implant (ou document équivalent) en possession du patient le jour de l'enquête</t>
  </si>
  <si>
    <t xml:space="preserve"> Liste des items de la carte implant identifiés par le patient</t>
  </si>
  <si>
    <t>9.1 Votre implant, et plus particulièrement :</t>
  </si>
  <si>
    <t>10. Quels documents, contenant des informations sur votre implant et votre suivi médical, vous ont été remis ?</t>
  </si>
  <si>
    <t>11.  Avez-vous été informé(e) que les informations relatives à votre implant sont tracées et peuvent être enregistrées dans votre Dossier Médical Partagé (DMP) ℹ️ sur votre espace santé ?</t>
  </si>
  <si>
    <t>12. Avez-vous été informé(e) de la nécessité de prévenir tous vos professionnels de santé (médecins, radiologues, pharmaciens, dentistes, infirmiers, kinésithérapeutes…) de l’existence de cet implant ?</t>
  </si>
  <si>
    <t>13. Avez-vous actuellement votre carte d’implant (ou un document équivalent) en votre possession ?</t>
  </si>
  <si>
    <t>14. Savez-vous quelles informations figurent sur votre carte d’implant ?</t>
  </si>
  <si>
    <t>14.1 : Nom, modèle / numéro de lot/série, IUD ℹ️</t>
  </si>
  <si>
    <t>Liste des informations disponibles sur la carte implant</t>
  </si>
  <si>
    <t>Nom / adresse / site internet du fabricant</t>
  </si>
  <si>
    <t>Date d’implantation</t>
  </si>
  <si>
    <t>Nom, modèle / numéro de lot/série, IUD ℹ️</t>
  </si>
  <si>
    <t>Nom du médecin implanteur</t>
  </si>
  <si>
    <t>Coordonnées de l’établissement</t>
  </si>
  <si>
    <t>Je ne sais pas</t>
  </si>
  <si>
    <t>15. Selon vous, à quoi sert votre carte d’implant ?</t>
  </si>
  <si>
    <t>Rôle(s) de la carte implant d'après le patient</t>
  </si>
  <si>
    <t>15.7 : Je ne sais pas</t>
  </si>
  <si>
    <t xml:space="preserve">15.6 : Compléter le formulaire de déclaration de matériovigilance ℹ️ </t>
  </si>
  <si>
    <t>15.2 : Avoir les coordonnées du fabricant</t>
  </si>
  <si>
    <t>15.3 : Retrouver les caractéristiques de mon implant en cas d’examen d'imagerie/intervention</t>
  </si>
  <si>
    <t>15.4 : Accéder aux informations de sécurité sur EUDAMED grâce à l’IUD</t>
  </si>
  <si>
    <t>15.5 : À identifier si vous êtes concerné(e) par une alerte sanitaire de matériovigilance</t>
  </si>
  <si>
    <t>Disposer des coordonnées du fabricant</t>
  </si>
  <si>
    <t>15.1 : Informer et coordonnées les professionnels de santé</t>
  </si>
  <si>
    <t>Retrouver les caractéristiques de mon implant en cas d’examen d'imagerie</t>
  </si>
  <si>
    <t xml:space="preserve"> Accéder aux informations de sécurité sur EUDAMED</t>
  </si>
  <si>
    <t>À identifier si vous êtes concerné(e) par une alerte sanitaire de matériovigilance</t>
  </si>
  <si>
    <t xml:space="preserve">Compléter le formulaire de déclaration de matériovigilance ℹ️ </t>
  </si>
  <si>
    <t>Favoriser l'information et la coordination des professionnels de santé</t>
  </si>
  <si>
    <t>test 1</t>
  </si>
  <si>
    <t>test 2</t>
  </si>
  <si>
    <t>test 3</t>
  </si>
  <si>
    <t>test 4</t>
  </si>
  <si>
    <t>test 5</t>
  </si>
  <si>
    <t>test 6</t>
  </si>
  <si>
    <t>test 7</t>
  </si>
  <si>
    <t>test 8</t>
  </si>
  <si>
    <t>test 9</t>
  </si>
  <si>
    <t>test 10</t>
  </si>
  <si>
    <t>test 11</t>
  </si>
  <si>
    <t>test 12</t>
  </si>
  <si>
    <t>test 13</t>
  </si>
  <si>
    <t>test 14</t>
  </si>
  <si>
    <t>test 15</t>
  </si>
  <si>
    <t>test 16</t>
  </si>
  <si>
    <t>test 17</t>
  </si>
  <si>
    <t>test 18</t>
  </si>
  <si>
    <t>test 19</t>
  </si>
  <si>
    <t>test 20</t>
  </si>
  <si>
    <t>test 21</t>
  </si>
  <si>
    <t>test 22</t>
  </si>
  <si>
    <t>test 23</t>
  </si>
  <si>
    <t>test 24</t>
  </si>
  <si>
    <t>test 25</t>
  </si>
  <si>
    <t>test 26</t>
  </si>
  <si>
    <t>test 27</t>
  </si>
  <si>
    <t>test 28</t>
  </si>
  <si>
    <t>test 29</t>
  </si>
  <si>
    <t>test 30</t>
  </si>
  <si>
    <t>AVIS ET SUGGESTIONS DES PATIENTS</t>
  </si>
  <si>
    <t>NIVEAU DE SATISFACTION GLOBAL</t>
  </si>
  <si>
    <t>Satisfaction globale</t>
  </si>
  <si>
    <t>suggestion 1</t>
  </si>
  <si>
    <t>suggestion 2</t>
  </si>
  <si>
    <t>suggestion 3</t>
  </si>
  <si>
    <t>suggestion 4</t>
  </si>
  <si>
    <t>suggestion 5</t>
  </si>
  <si>
    <t>suggestion 6</t>
  </si>
  <si>
    <t>suggestion 7</t>
  </si>
  <si>
    <t>suggestion 8</t>
  </si>
  <si>
    <t>suggestion 9</t>
  </si>
  <si>
    <t>suggestion 10</t>
  </si>
  <si>
    <t>suggestion 11</t>
  </si>
  <si>
    <t>suggestion 12</t>
  </si>
  <si>
    <t>suggestion 13</t>
  </si>
  <si>
    <t>suggestion 14</t>
  </si>
  <si>
    <t>suggestion 15</t>
  </si>
  <si>
    <t>suggestion 16</t>
  </si>
  <si>
    <t>suggestion 17</t>
  </si>
  <si>
    <t>suggestion 18</t>
  </si>
  <si>
    <t>suggestion 19</t>
  </si>
  <si>
    <t>suggestion 20</t>
  </si>
  <si>
    <t>suggestion 21</t>
  </si>
  <si>
    <t>suggestion 22</t>
  </si>
  <si>
    <t>suggestion 23</t>
  </si>
  <si>
    <t>suggestion 24</t>
  </si>
  <si>
    <t>suggestion 25</t>
  </si>
  <si>
    <t>suggestion 26</t>
  </si>
  <si>
    <t>suggestion 27</t>
  </si>
  <si>
    <t>suggestion 28</t>
  </si>
  <si>
    <t>suggestion 29</t>
  </si>
  <si>
    <t>suggestion 30</t>
  </si>
  <si>
    <t>Souhait d'information(s) complémentaire(s)</t>
  </si>
  <si>
    <t>Suggestions d’amélioration</t>
  </si>
  <si>
    <t>REMISE DE LA CARTE IMPLANT (ou document équivalent)</t>
  </si>
  <si>
    <t>Informations enregistrées (SI)
(ligne 95)</t>
  </si>
  <si>
    <t>Activité chirurgicale</t>
  </si>
  <si>
    <t>Informations reçues (Patient)
(lignes 37 et 38)</t>
  </si>
  <si>
    <t>X Informations reçues (Patient)
(lignes 37 et 38)</t>
  </si>
  <si>
    <t>Y Informations enregistrées (SI)
(ligne 95)</t>
  </si>
  <si>
    <t>Écart : information non reçue mais tracée dans le SI</t>
  </si>
  <si>
    <t>Écart : information reçue mais non tracée dans le SI</t>
  </si>
  <si>
    <t>Processus non conforme : Information non reçue &amp; non enregistrée dans le SI</t>
  </si>
  <si>
    <t>Nombre d'opérateurs évalués</t>
  </si>
  <si>
    <t>Nombre de références de DMI évalués</t>
  </si>
  <si>
    <t>CHIRURGIEN 1</t>
  </si>
  <si>
    <t>CHIRURGIEN 2</t>
  </si>
  <si>
    <t>CHIRURGIEN 3</t>
  </si>
  <si>
    <t>CHIRURGIEN 10</t>
  </si>
  <si>
    <t>Poseur</t>
  </si>
  <si>
    <t>Référence DMI</t>
  </si>
  <si>
    <t>REMISE DE LA LETTRE DE LIAISON</t>
  </si>
  <si>
    <t>Informations reçues (Patient)
(lignes 41)</t>
  </si>
  <si>
    <t>Remise de la carte d'implant*</t>
  </si>
  <si>
    <t>16. Liste des suggestions patients</t>
  </si>
  <si>
    <t>Temps écoulé entre la réponse au questionnaire et la date d'implantation</t>
  </si>
  <si>
    <t>Réponses ‘Je ne sais pas/plus’ selon l'âge du patient, la date d'implantation et l'organisation des soins à la pose</t>
  </si>
  <si>
    <t>Résultats :</t>
  </si>
  <si>
    <t>Nom du logiel de traçabilité sanitaire</t>
  </si>
  <si>
    <t>Téléversement des informations du DPI dans la lettre de liaison</t>
  </si>
  <si>
    <t>Téléversement des informations du DPI dans le dossier médical partagé, le cas échéant***</t>
  </si>
  <si>
    <t>Téléversement des informations du DPI dans le dossier pharmaceutique, le cas échéant***</t>
  </si>
  <si>
    <t>Numéro de référence du médecin poseur</t>
  </si>
  <si>
    <t>Type de facturation</t>
  </si>
  <si>
    <r>
      <rPr>
        <b/>
        <sz val="10"/>
        <color rgb="FF034EA2"/>
        <rFont val="Segoe UI Emoji"/>
        <family val="2"/>
      </rPr>
      <t xml:space="preserve">Saisir les éléments demandés dans les zones </t>
    </r>
    <r>
      <rPr>
        <b/>
        <sz val="10"/>
        <color rgb="FF0049AE"/>
        <rFont val="Segoe UI Emoji"/>
        <family val="2"/>
      </rPr>
      <t>oranges et vertes</t>
    </r>
    <r>
      <rPr>
        <b/>
        <sz val="10"/>
        <color rgb="FFD6EBBB"/>
        <rFont val="Segoe UI Emoji"/>
        <family val="2"/>
      </rPr>
      <t xml:space="preserve"> </t>
    </r>
    <r>
      <rPr>
        <b/>
        <sz val="10"/>
        <color rgb="FF0049AE"/>
        <rFont val="Segoe UI Emoji"/>
        <family val="2"/>
      </rPr>
      <t>des feuilles "Périmètre" et "Traçabilité et info Patient".</t>
    </r>
    <r>
      <rPr>
        <sz val="10"/>
        <color rgb="FF034EA2"/>
        <rFont val="Segoe UI Emoji"/>
        <family val="2"/>
      </rPr>
      <t xml:space="preserve"> 
Les cellules blanches sont programmées pour un calcul automatique et ne doivent pas être renseignées : </t>
    </r>
    <r>
      <rPr>
        <b/>
        <sz val="10"/>
        <color rgb="FF034EA2"/>
        <rFont val="Segoe UI Emoji"/>
        <family val="2"/>
      </rPr>
      <t>ne pas saisir dans les cellules blanches.</t>
    </r>
  </si>
  <si>
    <t>Date de l'audit</t>
  </si>
  <si>
    <t>Période de receuil</t>
  </si>
  <si>
    <r>
      <rPr>
        <b/>
        <u/>
        <sz val="10"/>
        <color rgb="FF034EA2"/>
        <rFont val="Segoe UI Emoji"/>
        <family val="2"/>
      </rPr>
      <t>Les feuilles "Données patients", "Données SI ES" et "Données croisées"</t>
    </r>
    <r>
      <rPr>
        <sz val="10"/>
        <color rgb="FF034EA2"/>
        <rFont val="Segoe UI Emoji"/>
        <family val="2"/>
      </rPr>
      <t xml:space="preserve"> se remplissent automatiquement à partir des données renseignées dans les onglets "Périmètre" et "Traçabilité et info patient".
Les résultats du questionnaire de satisfaction des patients sont présentés dans la feuille "Données patients" sous forme de tableaux et de graphique.
Les résultats de l'audit de traçabilité qualitative sont présentés dans la feuille "Données SI ES" sous forme de tableaux et sous forme et de graphique.
Les résultats de l'adéquation entre les réponses aux questionnaires de staisfaction des patients et les résuyltats de l'audit de performance de traçabilté des données sanitaires dans le système d'information sont présentés dans la feuille 'Données croisée" sous forme de tableaux et de graphique.</t>
    </r>
  </si>
  <si>
    <t>Conformité des données DPI</t>
  </si>
  <si>
    <t>Conformité = remise carte implant ou document équivalent</t>
  </si>
  <si>
    <t>Conformité = remise lettre de liaison</t>
  </si>
  <si>
    <t>Conformité des données versées du DPI vers la lettre de liaison</t>
  </si>
  <si>
    <t>Nombre de patients avec pose de DMI (éligibles)</t>
  </si>
  <si>
    <t>Spécialité chirugicale ou interventionnelle</t>
  </si>
  <si>
    <t>CHIRURGIEN 01</t>
  </si>
  <si>
    <t>CHIRURGIEN 02</t>
  </si>
  <si>
    <t>CHIRURGIEN 03</t>
  </si>
  <si>
    <t>CHIRURGIEN 04</t>
  </si>
  <si>
    <t>CHIRURGIEN 05</t>
  </si>
  <si>
    <t>CHIRURGIEN 06</t>
  </si>
  <si>
    <t>CHIRURGIEN 07</t>
  </si>
  <si>
    <t>CHIRURGIEN 08</t>
  </si>
  <si>
    <t>CHIRURGIEN 09</t>
  </si>
  <si>
    <r>
      <rPr>
        <b/>
        <u/>
        <sz val="10"/>
        <color rgb="FF034EA2"/>
        <rFont val="Segoe UI Emoji"/>
        <family val="2"/>
      </rPr>
      <t>Dans la feuille "Périmètre",</t>
    </r>
    <r>
      <rPr>
        <sz val="10"/>
        <color rgb="FF034EA2"/>
        <rFont val="Segoe UI Emoji"/>
        <family val="2"/>
      </rPr>
      <t xml:space="preserve"> 
Etape 1 : préciser si :
      - une procédure écrite décrivant les modalités de traçabilité sanitaire des DMI est formalisée dans l'établissement (oui/non) ;
      - un responsable du management de la qualité du circuit des DMI est désigné par le directeur de l'établissement conjointement avec le président de CME - Commission/Conférence Médicale d'Etablissement (oui/non).
Etape 2 : Identifier à partir des questionnaires des patients retenus pour l'audit les DMI implantés, en indiquant :
      - le libellé du DMI
      - le fabricant/fournisseur du DMI ;
      - la modalité de gestion du DMI : achat ou dépôt ;
      - le financement du DMI : intra-GHS ou hors GHS ;
      - la spécialité chirurgicale ou interventionnelle ;
      - le numéro de référence du médecin poseur ;
      - le nom du logiciel utilisé pour enregistrer les données de traçabilité sanitaire relative au DMI implanté dans le système d'information (SI) de l'établissement.</t>
    </r>
  </si>
  <si>
    <t>Code attribué pour identifier le questionnaire source sans révéler l’identité du patient.</t>
  </si>
  <si>
    <r>
      <rPr>
        <b/>
        <u/>
        <sz val="10"/>
        <color rgb="FF034EA2"/>
        <rFont val="Segoe UI Emoji"/>
        <family val="2"/>
      </rPr>
      <t>Dans la feuille "Traçabilité et info patient",</t>
    </r>
    <r>
      <rPr>
        <sz val="10"/>
        <color rgb="FF034EA2"/>
        <rFont val="Segoe UI Emoji"/>
        <family val="2"/>
      </rPr>
      <t xml:space="preserve"> 
Etape 1 : Renseigner pour chaque patient (1 à 30) 
      - le code attribué pour identifier le questionnaire source sans révéler l’identité du patient
      - le sexe du patient
      - la tranche d'âge du patient
      - le numéro de référence traceuse du DMI implanté ciblé par le questionnaire de satisfaction renseigné par le patient
Etape 2 : Saisir les réponses au questionnaire de satisfaction patient "Votre implant et vous"
Etape 3 : Procéder à l'audit rétrospectif du système d'information documentaire papier et informatique</t>
    </r>
  </si>
  <si>
    <r>
      <rPr>
        <b/>
        <u/>
        <sz val="10"/>
        <color rgb="FF034EA2"/>
        <rFont val="Segoe UI Emoji"/>
        <family val="2"/>
      </rPr>
      <t>Dans la feuille "Plan d'actions",</t>
    </r>
    <r>
      <rPr>
        <sz val="10"/>
        <color rgb="FF034EA2"/>
        <rFont val="Segoe UI Emoji"/>
        <family val="2"/>
      </rPr>
      <t xml:space="preserve"> 
Les commentaires et suggestion des patients sont reportés automatiquement afin d'alimenter les réflexions des professionnels au moment de l'élaoration du plan d'actions.</t>
    </r>
  </si>
  <si>
    <t>15. Liste des information(s) complémentaire(s) souhaitées par les patients</t>
  </si>
  <si>
    <t>Etape 2 : Saisir les réponses au questionnaire de satisfaction patient "Votre implant et vous"</t>
  </si>
  <si>
    <t>Etape 3 : Audit rétrospectif du système d'information documentaire papier et informatique</t>
  </si>
  <si>
    <t>Informations reçues (Patient)
(lignes 46)</t>
  </si>
  <si>
    <t>X Informations reçues (Patient)
(lignes 46)</t>
  </si>
  <si>
    <t>Y Informations enregistrées (SI)
(ligne 9)</t>
  </si>
  <si>
    <t>Informations enregistrées (SI)
(ligne 94)</t>
  </si>
  <si>
    <t>Y Informations enregistrées (SI)
(ligne 94)</t>
  </si>
  <si>
    <t>Informations enregistrées (SI)
(ligne 93)</t>
  </si>
  <si>
    <t>TELEVERSEMENT DES INFORMATIONS DANS LE DMP "MON ESPACE SANTE"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</si>
</sst>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
  </numFmts>
  <fonts count="49" x14ac:knownFonts="1">
    <font>
      <sz val="11"/>
      <color theme="1"/>
      <name val="Calibri"/>
      <family val="2"/>
      <scheme val="minor"/>
    </font>
    <font>
      <sz val="10"/>
      <name val="Arial"/>
      <family val="2"/>
    </font>
    <font>
      <sz val="10"/>
      <color theme="1"/>
      <name val="Calibri"/>
      <family val="2"/>
      <scheme val="minor"/>
    </font>
    <font>
      <sz val="10"/>
      <color rgb="FF034EA2"/>
      <name val="Calibri"/>
      <family val="2"/>
      <scheme val="minor"/>
    </font>
    <font>
      <b/>
      <sz val="10"/>
      <color rgb="FF034EA2"/>
      <name val="Calibri"/>
      <family val="2"/>
      <scheme val="minor"/>
    </font>
    <font>
      <b/>
      <sz val="14"/>
      <color theme="0"/>
      <name val="Calibri"/>
      <family val="2"/>
      <scheme val="minor"/>
    </font>
    <font>
      <sz val="8"/>
      <name val="Arial"/>
      <family val="2"/>
    </font>
    <font>
      <sz val="9"/>
      <color rgb="FF034EA2"/>
      <name val="Calibri"/>
      <family val="2"/>
      <scheme val="minor"/>
    </font>
    <font>
      <b/>
      <sz val="9"/>
      <color rgb="FF034EA2"/>
      <name val="Calibri"/>
      <family val="2"/>
      <scheme val="minor"/>
    </font>
    <font>
      <sz val="11"/>
      <color theme="1"/>
      <name val="Segoe UI Emoji"/>
      <family val="2"/>
    </font>
    <font>
      <b/>
      <sz val="11"/>
      <color rgb="FF034EA2"/>
      <name val="Segoe UI Emoji"/>
      <family val="2"/>
    </font>
    <font>
      <b/>
      <u/>
      <sz val="11"/>
      <color rgb="FF034EA2"/>
      <name val="Segoe UI Emoji"/>
      <family val="2"/>
    </font>
    <font>
      <sz val="10"/>
      <color rgb="FF034EA2"/>
      <name val="Segoe UI Emoji"/>
      <family val="2"/>
    </font>
    <font>
      <b/>
      <sz val="10"/>
      <color rgb="FF034EA2"/>
      <name val="Segoe UI Emoji"/>
      <family val="2"/>
    </font>
    <font>
      <b/>
      <u/>
      <sz val="10"/>
      <color rgb="FF034EA2"/>
      <name val="Segoe UI Emoji"/>
      <family val="2"/>
    </font>
    <font>
      <b/>
      <sz val="14"/>
      <color theme="0"/>
      <name val="Segoe UI Emoji"/>
      <family val="2"/>
    </font>
    <font>
      <sz val="9"/>
      <color rgb="FF034EA2"/>
      <name val="Segoe UI Emoji"/>
      <family val="2"/>
    </font>
    <font>
      <sz val="10"/>
      <color theme="1"/>
      <name val="Segoe UI Emoji"/>
      <family val="2"/>
    </font>
    <font>
      <i/>
      <sz val="9"/>
      <color rgb="FF034EA2"/>
      <name val="Segoe UI Emoji"/>
      <family val="2"/>
    </font>
    <font>
      <i/>
      <sz val="9"/>
      <color rgb="FF8DC63F"/>
      <name val="Segoe UI Emoji"/>
      <family val="2"/>
    </font>
    <font>
      <sz val="10"/>
      <color theme="0"/>
      <name val="Segoe UI Emoji"/>
      <family val="2"/>
    </font>
    <font>
      <b/>
      <sz val="10"/>
      <color theme="0"/>
      <name val="Segoe UI Emoji"/>
      <family val="2"/>
    </font>
    <font>
      <sz val="9"/>
      <color theme="1"/>
      <name val="Segoe UI Emoji"/>
      <family val="2"/>
    </font>
    <font>
      <sz val="11"/>
      <color theme="1"/>
      <name val="Calibri"/>
      <family val="2"/>
      <scheme val="minor"/>
    </font>
    <font>
      <b/>
      <sz val="10"/>
      <color theme="1"/>
      <name val="Segoe UI Emoji"/>
      <family val="2"/>
    </font>
    <font>
      <sz val="10"/>
      <color rgb="FFFF0000"/>
      <name val="Segoe UI Emoji"/>
      <family val="2"/>
    </font>
    <font>
      <sz val="11"/>
      <color rgb="FF000000"/>
      <name val="Calibri"/>
      <family val="2"/>
    </font>
    <font>
      <sz val="8"/>
      <name val="Calibri"/>
      <family val="2"/>
      <scheme val="minor"/>
    </font>
    <font>
      <sz val="11"/>
      <color theme="1"/>
      <name val="Aptos Narrow"/>
      <family val="2"/>
    </font>
    <font>
      <sz val="9"/>
      <color theme="1"/>
      <name val="Calibri"/>
      <family val="2"/>
      <scheme val="minor"/>
    </font>
    <font>
      <sz val="9"/>
      <color rgb="FF0049AE"/>
      <name val="Calibri"/>
      <family val="2"/>
      <scheme val="minor"/>
    </font>
    <font>
      <sz val="11"/>
      <color rgb="FFFF0000"/>
      <name val="Calibri"/>
      <family val="2"/>
      <scheme val="minor"/>
    </font>
    <font>
      <sz val="9"/>
      <color rgb="FFFF0000"/>
      <name val="Calibri"/>
      <family val="2"/>
      <scheme val="minor"/>
    </font>
    <font>
      <sz val="8"/>
      <color rgb="FF034EA2"/>
      <name val="Calibri"/>
      <family val="2"/>
      <scheme val="minor"/>
    </font>
    <font>
      <sz val="11"/>
      <color rgb="FF004AAD"/>
      <name val="Calibri"/>
      <family val="2"/>
      <scheme val="minor"/>
    </font>
    <font>
      <b/>
      <sz val="12"/>
      <color theme="0"/>
      <name val="Calibri"/>
      <family val="2"/>
      <scheme val="minor"/>
    </font>
    <font>
      <b/>
      <sz val="11"/>
      <color theme="0"/>
      <name val="Calibri"/>
      <family val="2"/>
      <scheme val="minor"/>
    </font>
    <font>
      <sz val="8"/>
      <color rgb="FF0049AE"/>
      <name val="Calibri"/>
      <family val="2"/>
      <scheme val="minor"/>
    </font>
    <font>
      <sz val="10"/>
      <color rgb="FF0049AE"/>
      <name val="Calibri"/>
      <family val="2"/>
      <scheme val="minor"/>
    </font>
    <font>
      <sz val="9"/>
      <color rgb="FF0049AE"/>
      <name val="Segoe UI Emoji"/>
      <family val="2"/>
    </font>
    <font>
      <b/>
      <sz val="10"/>
      <color theme="0"/>
      <name val="Calibri"/>
      <family val="2"/>
      <scheme val="minor"/>
    </font>
    <font>
      <b/>
      <sz val="8"/>
      <color theme="0"/>
      <name val="Calibri"/>
      <family val="2"/>
      <scheme val="minor"/>
    </font>
    <font>
      <b/>
      <sz val="10"/>
      <color rgb="FFD6EBBB"/>
      <name val="Segoe UI Emoji"/>
      <family val="2"/>
    </font>
    <font>
      <b/>
      <sz val="10"/>
      <color rgb="FF0049AE"/>
      <name val="Segoe UI Emoji"/>
      <family val="2"/>
    </font>
    <font>
      <sz val="10"/>
      <color rgb="FF0049AE"/>
      <name val="Segoe UI Emoji"/>
      <family val="2"/>
    </font>
    <font>
      <sz val="8"/>
      <color theme="1"/>
      <name val="Calibri"/>
      <family val="2"/>
      <scheme val="minor"/>
    </font>
    <font>
      <sz val="8"/>
      <color rgb="FF034EA2"/>
      <name val="Segoe UI Emoji"/>
      <family val="2"/>
    </font>
    <font>
      <sz val="8"/>
      <color theme="0"/>
      <name val="Segoe UI Emoji"/>
      <family val="2"/>
    </font>
    <font>
      <sz val="8"/>
      <color theme="1"/>
      <name val="Segoe UI Emoji"/>
      <family val="2"/>
    </font>
  </fonts>
  <fills count="21">
    <fill>
      <patternFill patternType="none"/>
    </fill>
    <fill>
      <patternFill patternType="gray125"/>
    </fill>
    <fill>
      <patternFill patternType="solid">
        <fgColor rgb="FF034EA2"/>
        <bgColor indexed="64"/>
      </patternFill>
    </fill>
    <fill>
      <patternFill patternType="solid">
        <fgColor rgb="FFD6EBBB"/>
        <bgColor indexed="64"/>
      </patternFill>
    </fill>
    <fill>
      <patternFill patternType="solid">
        <fgColor rgb="FFE1F0CC"/>
        <bgColor indexed="64"/>
      </patternFill>
    </fill>
    <fill>
      <patternFill patternType="solid">
        <fgColor rgb="FFD2E7FE"/>
        <bgColor indexed="64"/>
      </patternFill>
    </fill>
    <fill>
      <patternFill patternType="solid">
        <fgColor rgb="FFE6F1FE"/>
        <bgColor indexed="64"/>
      </patternFill>
    </fill>
    <fill>
      <patternFill patternType="solid">
        <fgColor rgb="FFF1F8E8"/>
        <bgColor indexed="64"/>
      </patternFill>
    </fill>
    <fill>
      <patternFill patternType="solid">
        <fgColor theme="4" tint="0.79998168889431442"/>
        <bgColor indexed="64"/>
      </patternFill>
    </fill>
    <fill>
      <patternFill patternType="solid">
        <fgColor theme="0"/>
        <bgColor indexed="64"/>
      </patternFill>
    </fill>
    <fill>
      <patternFill patternType="solid">
        <fgColor rgb="FF8DC63F"/>
        <bgColor indexed="64"/>
      </patternFill>
    </fill>
    <fill>
      <patternFill patternType="solid">
        <fgColor rgb="FF38B6FF"/>
        <bgColor indexed="64"/>
      </patternFill>
    </fill>
    <fill>
      <patternFill patternType="solid">
        <fgColor rgb="FFFFAB57"/>
        <bgColor indexed="64"/>
      </patternFill>
    </fill>
    <fill>
      <patternFill patternType="solid">
        <fgColor rgb="FFFFCC99"/>
        <bgColor indexed="64"/>
      </patternFill>
    </fill>
    <fill>
      <patternFill patternType="solid">
        <fgColor rgb="FF0049AE"/>
        <bgColor indexed="64"/>
      </patternFill>
    </fill>
    <fill>
      <patternFill patternType="mediumGray">
        <bgColor rgb="FFD6EBBB"/>
      </patternFill>
    </fill>
    <fill>
      <patternFill patternType="solid">
        <fgColor rgb="FF0049AE"/>
        <bgColor rgb="FFE8E8E8"/>
      </patternFill>
    </fill>
    <fill>
      <patternFill patternType="solid">
        <fgColor rgb="FFFFFF00"/>
        <bgColor indexed="64"/>
      </patternFill>
    </fill>
    <fill>
      <patternFill patternType="solid">
        <fgColor rgb="FFFFC000"/>
        <bgColor indexed="64"/>
      </patternFill>
    </fill>
    <fill>
      <patternFill patternType="solid">
        <fgColor rgb="FF00BF63"/>
        <bgColor indexed="64"/>
      </patternFill>
    </fill>
    <fill>
      <patternFill patternType="solid">
        <fgColor rgb="FFC00000"/>
        <bgColor indexed="64"/>
      </patternFill>
    </fill>
  </fills>
  <borders count="104">
    <border>
      <left/>
      <right/>
      <top/>
      <bottom/>
      <diagonal/>
    </border>
    <border>
      <left style="thin">
        <color rgb="FF034EA2"/>
      </left>
      <right style="thin">
        <color rgb="FF034EA2"/>
      </right>
      <top style="thin">
        <color rgb="FF034EA2"/>
      </top>
      <bottom style="thin">
        <color rgb="FF034EA2"/>
      </bottom>
      <diagonal/>
    </border>
    <border>
      <left style="thin">
        <color rgb="FF034EA2"/>
      </left>
      <right/>
      <top/>
      <bottom style="thin">
        <color rgb="FF034EA2"/>
      </bottom>
      <diagonal/>
    </border>
    <border>
      <left/>
      <right/>
      <top/>
      <bottom style="thin">
        <color rgb="FF034EA2"/>
      </bottom>
      <diagonal/>
    </border>
    <border>
      <left/>
      <right style="thin">
        <color rgb="FF034EA2"/>
      </right>
      <top/>
      <bottom style="thin">
        <color rgb="FF034EA2"/>
      </bottom>
      <diagonal/>
    </border>
    <border>
      <left style="thin">
        <color theme="0"/>
      </left>
      <right style="thin">
        <color theme="0"/>
      </right>
      <top style="thin">
        <color theme="0"/>
      </top>
      <bottom style="thin">
        <color theme="0"/>
      </bottom>
      <diagonal/>
    </border>
    <border>
      <left style="thin">
        <color rgb="FF034EA2"/>
      </left>
      <right/>
      <top style="thin">
        <color rgb="FF034EA2"/>
      </top>
      <bottom style="thin">
        <color rgb="FF034EA2"/>
      </bottom>
      <diagonal/>
    </border>
    <border>
      <left/>
      <right/>
      <top style="thin">
        <color rgb="FF034EA2"/>
      </top>
      <bottom style="thin">
        <color rgb="FF034EA2"/>
      </bottom>
      <diagonal/>
    </border>
    <border>
      <left style="thin">
        <color rgb="FF034EA2"/>
      </left>
      <right style="thin">
        <color rgb="FF034EA2"/>
      </right>
      <top/>
      <bottom style="thin">
        <color rgb="FF034EA2"/>
      </bottom>
      <diagonal/>
    </border>
    <border>
      <left style="thin">
        <color rgb="FF034EA2"/>
      </left>
      <right style="thin">
        <color rgb="FF034EA2"/>
      </right>
      <top style="thin">
        <color rgb="FF034EA2"/>
      </top>
      <bottom/>
      <diagonal/>
    </border>
    <border>
      <left style="medium">
        <color rgb="FF034EA2"/>
      </left>
      <right style="thin">
        <color rgb="FF034EA2"/>
      </right>
      <top style="medium">
        <color rgb="FF034EA2"/>
      </top>
      <bottom style="thin">
        <color rgb="FF034EA2"/>
      </bottom>
      <diagonal/>
    </border>
    <border>
      <left style="thin">
        <color rgb="FF034EA2"/>
      </left>
      <right style="thin">
        <color rgb="FF034EA2"/>
      </right>
      <top style="medium">
        <color rgb="FF034EA2"/>
      </top>
      <bottom style="thin">
        <color rgb="FF034EA2"/>
      </bottom>
      <diagonal/>
    </border>
    <border>
      <left/>
      <right style="medium">
        <color rgb="FF034EA2"/>
      </right>
      <top style="medium">
        <color rgb="FF034EA2"/>
      </top>
      <bottom style="thin">
        <color rgb="FF034EA2"/>
      </bottom>
      <diagonal/>
    </border>
    <border>
      <left style="medium">
        <color rgb="FF034EA2"/>
      </left>
      <right style="thin">
        <color rgb="FF034EA2"/>
      </right>
      <top style="thin">
        <color rgb="FF034EA2"/>
      </top>
      <bottom style="thin">
        <color rgb="FF034EA2"/>
      </bottom>
      <diagonal/>
    </border>
    <border>
      <left/>
      <right style="medium">
        <color rgb="FF034EA2"/>
      </right>
      <top style="thin">
        <color rgb="FF034EA2"/>
      </top>
      <bottom style="thin">
        <color rgb="FF034EA2"/>
      </bottom>
      <diagonal/>
    </border>
    <border>
      <left style="medium">
        <color rgb="FF034EA2"/>
      </left>
      <right style="thin">
        <color rgb="FF034EA2"/>
      </right>
      <top style="thin">
        <color rgb="FF034EA2"/>
      </top>
      <bottom style="medium">
        <color rgb="FF034EA2"/>
      </bottom>
      <diagonal/>
    </border>
    <border>
      <left style="thin">
        <color rgb="FF034EA2"/>
      </left>
      <right style="thin">
        <color rgb="FF034EA2"/>
      </right>
      <top style="thin">
        <color rgb="FF034EA2"/>
      </top>
      <bottom style="medium">
        <color rgb="FF034EA2"/>
      </bottom>
      <diagonal/>
    </border>
    <border>
      <left style="thin">
        <color rgb="FF034EA2"/>
      </left>
      <right/>
      <top style="thin">
        <color rgb="FF034EA2"/>
      </top>
      <bottom style="medium">
        <color rgb="FF034EA2"/>
      </bottom>
      <diagonal/>
    </border>
    <border>
      <left style="medium">
        <color rgb="FF034EA2"/>
      </left>
      <right/>
      <top style="medium">
        <color rgb="FF034EA2"/>
      </top>
      <bottom style="medium">
        <color rgb="FF034EA2"/>
      </bottom>
      <diagonal/>
    </border>
    <border>
      <left/>
      <right style="medium">
        <color rgb="FF034EA2"/>
      </right>
      <top style="medium">
        <color rgb="FF034EA2"/>
      </top>
      <bottom style="medium">
        <color rgb="FF034EA2"/>
      </bottom>
      <diagonal/>
    </border>
    <border>
      <left style="medium">
        <color rgb="FF034EA2"/>
      </left>
      <right/>
      <top style="medium">
        <color rgb="FF034EA2"/>
      </top>
      <bottom style="thin">
        <color rgb="FF034EA2"/>
      </bottom>
      <diagonal/>
    </border>
    <border>
      <left style="thin">
        <color rgb="FF034EA2"/>
      </left>
      <right style="medium">
        <color rgb="FF034EA2"/>
      </right>
      <top style="thin">
        <color rgb="FF034EA2"/>
      </top>
      <bottom style="thin">
        <color rgb="FF034EA2"/>
      </bottom>
      <diagonal/>
    </border>
    <border>
      <left style="medium">
        <color rgb="FF034EA2"/>
      </left>
      <right style="thin">
        <color rgb="FF034EA2"/>
      </right>
      <top/>
      <bottom style="thin">
        <color rgb="FF034EA2"/>
      </bottom>
      <diagonal/>
    </border>
    <border>
      <left style="thin">
        <color rgb="FF034EA2"/>
      </left>
      <right style="medium">
        <color rgb="FF034EA2"/>
      </right>
      <top style="thin">
        <color rgb="FF034EA2"/>
      </top>
      <bottom style="medium">
        <color rgb="FF034EA2"/>
      </bottom>
      <diagonal/>
    </border>
    <border>
      <left style="medium">
        <color rgb="FF034EA2"/>
      </left>
      <right style="thin">
        <color rgb="FF034EA2"/>
      </right>
      <top style="thin">
        <color rgb="FF034EA2"/>
      </top>
      <bottom/>
      <diagonal/>
    </border>
    <border>
      <left style="thin">
        <color rgb="FF034EA2"/>
      </left>
      <right style="medium">
        <color rgb="FF034EA2"/>
      </right>
      <top style="thin">
        <color rgb="FF034EA2"/>
      </top>
      <bottom/>
      <diagonal/>
    </border>
    <border>
      <left style="medium">
        <color rgb="FF034EA2"/>
      </left>
      <right style="medium">
        <color rgb="FF034EA2"/>
      </right>
      <top style="medium">
        <color rgb="FF034EA2"/>
      </top>
      <bottom style="thin">
        <color rgb="FF034EA2"/>
      </bottom>
      <diagonal/>
    </border>
    <border>
      <left style="medium">
        <color rgb="FF034EA2"/>
      </left>
      <right style="medium">
        <color rgb="FF034EA2"/>
      </right>
      <top style="thin">
        <color rgb="FF034EA2"/>
      </top>
      <bottom style="thin">
        <color rgb="FF034EA2"/>
      </bottom>
      <diagonal/>
    </border>
    <border>
      <left style="medium">
        <color rgb="FF034EA2"/>
      </left>
      <right style="thin">
        <color rgb="FF034EA2"/>
      </right>
      <top style="medium">
        <color rgb="FF034EA2"/>
      </top>
      <bottom/>
      <diagonal/>
    </border>
    <border>
      <left style="thin">
        <color rgb="FF034EA2"/>
      </left>
      <right style="medium">
        <color rgb="FF034EA2"/>
      </right>
      <top style="medium">
        <color rgb="FF034EA2"/>
      </top>
      <bottom style="thin">
        <color rgb="FF034EA2"/>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right/>
      <top style="medium">
        <color rgb="FF034EA2"/>
      </top>
      <bottom style="medium">
        <color rgb="FF034EA2"/>
      </bottom>
      <diagonal/>
    </border>
    <border>
      <left/>
      <right style="thin">
        <color rgb="FF034EA2"/>
      </right>
      <top style="thin">
        <color rgb="FF034EA2"/>
      </top>
      <bottom style="thin">
        <color rgb="FF034EA2"/>
      </bottom>
      <diagonal/>
    </border>
    <border>
      <left/>
      <right style="thin">
        <color rgb="FF034EA2"/>
      </right>
      <top/>
      <bottom/>
      <diagonal/>
    </border>
    <border>
      <left/>
      <right style="thin">
        <color rgb="FF034EA2"/>
      </right>
      <top style="thin">
        <color rgb="FF034EA2"/>
      </top>
      <bottom style="medium">
        <color rgb="FF034EA2"/>
      </bottom>
      <diagonal/>
    </border>
    <border>
      <left/>
      <right/>
      <top style="thin">
        <color rgb="FF034EA2"/>
      </top>
      <bottom style="medium">
        <color rgb="FF034EA2"/>
      </bottom>
      <diagonal/>
    </border>
    <border>
      <left/>
      <right style="medium">
        <color rgb="FF034EA2"/>
      </right>
      <top/>
      <bottom style="thin">
        <color rgb="FF034EA2"/>
      </bottom>
      <diagonal/>
    </border>
    <border>
      <left/>
      <right style="thin">
        <color rgb="FF034EA2"/>
      </right>
      <top style="medium">
        <color rgb="FF034EA2"/>
      </top>
      <bottom style="thin">
        <color rgb="FF034EA2"/>
      </bottom>
      <diagonal/>
    </border>
    <border>
      <left/>
      <right style="thin">
        <color rgb="FF034EA2"/>
      </right>
      <top/>
      <bottom style="medium">
        <color rgb="FF034EA2"/>
      </bottom>
      <diagonal/>
    </border>
    <border>
      <left/>
      <right style="thin">
        <color rgb="FF034EA2"/>
      </right>
      <top style="medium">
        <color rgb="FF034EA2"/>
      </top>
      <bottom/>
      <diagonal/>
    </border>
    <border>
      <left style="medium">
        <color rgb="FF034EA2"/>
      </left>
      <right/>
      <top style="medium">
        <color rgb="FF034EA2"/>
      </top>
      <bottom/>
      <diagonal/>
    </border>
    <border>
      <left style="medium">
        <color rgb="FF034EA2"/>
      </left>
      <right/>
      <top/>
      <bottom/>
      <diagonal/>
    </border>
    <border>
      <left style="medium">
        <color rgb="FF034EA2"/>
      </left>
      <right/>
      <top/>
      <bottom style="medium">
        <color rgb="FF034EA2"/>
      </bottom>
      <diagonal/>
    </border>
    <border>
      <left style="medium">
        <color rgb="FF034EA2"/>
      </left>
      <right style="medium">
        <color rgb="FF034EA2"/>
      </right>
      <top style="medium">
        <color rgb="FF034EA2"/>
      </top>
      <bottom/>
      <diagonal/>
    </border>
    <border>
      <left/>
      <right style="medium">
        <color rgb="FF034EA2"/>
      </right>
      <top style="medium">
        <color rgb="FF034EA2"/>
      </top>
      <bottom/>
      <diagonal/>
    </border>
    <border>
      <left/>
      <right/>
      <top style="medium">
        <color rgb="FF034EA2"/>
      </top>
      <bottom/>
      <diagonal/>
    </border>
    <border>
      <left/>
      <right/>
      <top/>
      <bottom style="medium">
        <color rgb="FF034EA2"/>
      </bottom>
      <diagonal/>
    </border>
    <border>
      <left style="thin">
        <color rgb="FF034EA2"/>
      </left>
      <right/>
      <top style="medium">
        <color rgb="FF034EA2"/>
      </top>
      <bottom style="thin">
        <color rgb="FF034EA2"/>
      </bottom>
      <diagonal/>
    </border>
    <border>
      <left/>
      <right/>
      <top style="medium">
        <color rgb="FF034EA2"/>
      </top>
      <bottom style="thin">
        <color rgb="FF034EA2"/>
      </bottom>
      <diagonal/>
    </border>
    <border>
      <left style="medium">
        <color rgb="FF38B6FF"/>
      </left>
      <right/>
      <top style="medium">
        <color rgb="FF38B6FF"/>
      </top>
      <bottom/>
      <diagonal/>
    </border>
    <border>
      <left/>
      <right/>
      <top style="medium">
        <color rgb="FF38B6FF"/>
      </top>
      <bottom/>
      <diagonal/>
    </border>
    <border>
      <left/>
      <right style="medium">
        <color rgb="FF38B6FF"/>
      </right>
      <top style="medium">
        <color rgb="FF38B6FF"/>
      </top>
      <bottom/>
      <diagonal/>
    </border>
    <border>
      <left style="medium">
        <color rgb="FF38B6FF"/>
      </left>
      <right/>
      <top/>
      <bottom/>
      <diagonal/>
    </border>
    <border>
      <left/>
      <right style="medium">
        <color rgb="FF38B6FF"/>
      </right>
      <top/>
      <bottom/>
      <diagonal/>
    </border>
    <border>
      <left style="medium">
        <color rgb="FF38B6FF"/>
      </left>
      <right/>
      <top/>
      <bottom style="medium">
        <color rgb="FF38B6FF"/>
      </bottom>
      <diagonal/>
    </border>
    <border>
      <left/>
      <right/>
      <top/>
      <bottom style="medium">
        <color rgb="FF38B6FF"/>
      </bottom>
      <diagonal/>
    </border>
    <border>
      <left/>
      <right style="medium">
        <color rgb="FF38B6FF"/>
      </right>
      <top/>
      <bottom style="medium">
        <color rgb="FF38B6FF"/>
      </bottom>
      <diagonal/>
    </border>
    <border>
      <left style="thin">
        <color rgb="FF034EA2"/>
      </left>
      <right style="thin">
        <color rgb="FF034EA2"/>
      </right>
      <top style="medium">
        <color rgb="FF034EA2"/>
      </top>
      <bottom/>
      <diagonal/>
    </border>
    <border>
      <left style="medium">
        <color rgb="FFFFAB57"/>
      </left>
      <right/>
      <top style="medium">
        <color rgb="FFFFAB57"/>
      </top>
      <bottom style="medium">
        <color rgb="FFFFAB57"/>
      </bottom>
      <diagonal/>
    </border>
    <border>
      <left/>
      <right style="medium">
        <color rgb="FF034EA2"/>
      </right>
      <top style="medium">
        <color rgb="FFFFAB57"/>
      </top>
      <bottom style="medium">
        <color rgb="FFFFAB57"/>
      </bottom>
      <diagonal/>
    </border>
    <border>
      <left style="thin">
        <color rgb="FF034EA2"/>
      </left>
      <right style="thin">
        <color rgb="FF034EA2"/>
      </right>
      <top style="medium">
        <color rgb="FFFFAB57"/>
      </top>
      <bottom style="medium">
        <color rgb="FFFFAB57"/>
      </bottom>
      <diagonal/>
    </border>
    <border>
      <left style="thin">
        <color rgb="FF034EA2"/>
      </left>
      <right style="medium">
        <color rgb="FFFFAB57"/>
      </right>
      <top style="medium">
        <color rgb="FFFFAB57"/>
      </top>
      <bottom style="medium">
        <color rgb="FFFFAB57"/>
      </bottom>
      <diagonal/>
    </border>
    <border>
      <left style="medium">
        <color rgb="FF034EA2"/>
      </left>
      <right style="medium">
        <color rgb="FF034EA2"/>
      </right>
      <top/>
      <bottom/>
      <diagonal/>
    </border>
    <border>
      <left/>
      <right style="medium">
        <color rgb="FF034EA2"/>
      </right>
      <top/>
      <bottom/>
      <diagonal/>
    </border>
    <border>
      <left/>
      <right style="thin">
        <color theme="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right/>
      <top style="thin">
        <color theme="0"/>
      </top>
      <bottom/>
      <diagonal/>
    </border>
    <border>
      <left style="medium">
        <color rgb="FF034EA2"/>
      </left>
      <right style="medium">
        <color rgb="FF034EA2"/>
      </right>
      <top style="medium">
        <color rgb="FF034EA2"/>
      </top>
      <bottom style="medium">
        <color rgb="FF034EA2"/>
      </bottom>
      <diagonal/>
    </border>
    <border>
      <left/>
      <right style="medium">
        <color rgb="FF034EA2"/>
      </right>
      <top/>
      <bottom style="medium">
        <color rgb="FF034EA2"/>
      </bottom>
      <diagonal/>
    </border>
    <border>
      <left style="thin">
        <color indexed="64"/>
      </left>
      <right style="thin">
        <color indexed="64"/>
      </right>
      <top style="thin">
        <color indexed="64"/>
      </top>
      <bottom style="thin">
        <color indexed="64"/>
      </bottom>
      <diagonal/>
    </border>
    <border>
      <left style="medium">
        <color rgb="FF034EA2"/>
      </left>
      <right style="thin">
        <color rgb="FF034EA2"/>
      </right>
      <top/>
      <bottom/>
      <diagonal/>
    </border>
    <border>
      <left style="medium">
        <color rgb="FF034EA2"/>
      </left>
      <right style="thin">
        <color rgb="FF034EA2"/>
      </right>
      <top/>
      <bottom style="medium">
        <color rgb="FF034EA2"/>
      </bottom>
      <diagonal/>
    </border>
    <border>
      <left style="medium">
        <color rgb="FF034EA2"/>
      </left>
      <right style="medium">
        <color rgb="FF034EA2"/>
      </right>
      <top style="thin">
        <color rgb="FF034EA2"/>
      </top>
      <bottom style="medium">
        <color rgb="FF034EA2"/>
      </bottom>
      <diagonal/>
    </border>
    <border>
      <left style="medium">
        <color rgb="FF034EA2"/>
      </left>
      <right style="medium">
        <color rgb="FF034EA2"/>
      </right>
      <top/>
      <bottom style="medium">
        <color rgb="FF034EA2"/>
      </bottom>
      <diagonal/>
    </border>
    <border>
      <left/>
      <right style="medium">
        <color rgb="FF034EA2"/>
      </right>
      <top style="thin">
        <color rgb="FF034EA2"/>
      </top>
      <bottom style="medium">
        <color rgb="FF034EA2"/>
      </bottom>
      <diagonal/>
    </border>
    <border>
      <left style="medium">
        <color rgb="FF034EA2"/>
      </left>
      <right style="thin">
        <color rgb="FF034EA2"/>
      </right>
      <top style="medium">
        <color rgb="FF034EA2"/>
      </top>
      <bottom style="medium">
        <color rgb="FF034EA2"/>
      </bottom>
      <diagonal/>
    </border>
    <border>
      <left style="thin">
        <color rgb="FF034EA2"/>
      </left>
      <right style="thin">
        <color rgb="FF034EA2"/>
      </right>
      <top style="medium">
        <color rgb="FF034EA2"/>
      </top>
      <bottom style="medium">
        <color rgb="FF034EA2"/>
      </bottom>
      <diagonal/>
    </border>
    <border>
      <left style="thin">
        <color rgb="FF034EA2"/>
      </left>
      <right style="medium">
        <color rgb="FF034EA2"/>
      </right>
      <top style="medium">
        <color rgb="FF034EA2"/>
      </top>
      <bottom style="medium">
        <color rgb="FF034EA2"/>
      </bottom>
      <diagonal/>
    </border>
    <border>
      <left/>
      <right style="thin">
        <color indexed="64"/>
      </right>
      <top style="thin">
        <color indexed="64"/>
      </top>
      <bottom style="thin">
        <color indexed="64"/>
      </bottom>
      <diagonal/>
    </border>
    <border>
      <left style="thin">
        <color rgb="FF034EA2"/>
      </left>
      <right style="medium">
        <color rgb="FF034EA2"/>
      </right>
      <top style="medium">
        <color rgb="FF034EA2"/>
      </top>
      <bottom/>
      <diagonal/>
    </border>
    <border>
      <left style="medium">
        <color rgb="FF034EA2"/>
      </left>
      <right style="thin">
        <color indexed="64"/>
      </right>
      <top style="thin">
        <color indexed="64"/>
      </top>
      <bottom style="medium">
        <color rgb="FF034EA2"/>
      </bottom>
      <diagonal/>
    </border>
    <border>
      <left style="thin">
        <color indexed="64"/>
      </left>
      <right style="thin">
        <color indexed="64"/>
      </right>
      <top style="thin">
        <color indexed="64"/>
      </top>
      <bottom style="medium">
        <color rgb="FF034EA2"/>
      </bottom>
      <diagonal/>
    </border>
    <border>
      <left style="thin">
        <color indexed="64"/>
      </left>
      <right style="medium">
        <color rgb="FF034EA2"/>
      </right>
      <top style="thin">
        <color indexed="64"/>
      </top>
      <bottom style="medium">
        <color rgb="FF034EA2"/>
      </bottom>
      <diagonal/>
    </border>
    <border>
      <left style="medium">
        <color rgb="FF034EA2"/>
      </left>
      <right style="thin">
        <color indexed="64"/>
      </right>
      <top style="medium">
        <color rgb="FF034EA2"/>
      </top>
      <bottom style="thin">
        <color indexed="64"/>
      </bottom>
      <diagonal/>
    </border>
    <border>
      <left style="thin">
        <color indexed="64"/>
      </left>
      <right style="thin">
        <color indexed="64"/>
      </right>
      <top style="medium">
        <color rgb="FF034EA2"/>
      </top>
      <bottom style="thin">
        <color indexed="64"/>
      </bottom>
      <diagonal/>
    </border>
    <border>
      <left style="thin">
        <color indexed="64"/>
      </left>
      <right style="medium">
        <color rgb="FF034EA2"/>
      </right>
      <top style="medium">
        <color rgb="FF034EA2"/>
      </top>
      <bottom style="thin">
        <color indexed="64"/>
      </bottom>
      <diagonal/>
    </border>
    <border>
      <left/>
      <right/>
      <top/>
      <bottom style="thin">
        <color rgb="FF000000"/>
      </bottom>
      <diagonal/>
    </border>
    <border>
      <left style="thin">
        <color theme="0"/>
      </left>
      <right/>
      <top/>
      <bottom/>
      <diagonal/>
    </border>
    <border>
      <left style="thin">
        <color theme="0"/>
      </left>
      <right/>
      <top style="thin">
        <color theme="0"/>
      </top>
      <bottom/>
      <diagonal/>
    </border>
    <border>
      <left/>
      <right style="thin">
        <color theme="0"/>
      </right>
      <top style="thin">
        <color theme="0"/>
      </top>
      <bottom/>
      <diagonal/>
    </border>
    <border>
      <left style="thin">
        <color rgb="FF0049AE"/>
      </left>
      <right style="thin">
        <color rgb="FF0049AE"/>
      </right>
      <top style="thin">
        <color rgb="FF0049AE"/>
      </top>
      <bottom style="thin">
        <color rgb="FF0049AE"/>
      </bottom>
      <diagonal/>
    </border>
    <border>
      <left style="medium">
        <color rgb="FF38B6FF"/>
      </left>
      <right style="medium">
        <color rgb="FF38B6FF"/>
      </right>
      <top style="medium">
        <color rgb="FF38B6FF"/>
      </top>
      <bottom/>
      <diagonal/>
    </border>
    <border>
      <left style="medium">
        <color rgb="FF38B6FF"/>
      </left>
      <right style="medium">
        <color rgb="FF38B6FF"/>
      </right>
      <top/>
      <bottom/>
      <diagonal/>
    </border>
    <border>
      <left style="medium">
        <color rgb="FF38B6FF"/>
      </left>
      <right style="medium">
        <color rgb="FF38B6FF"/>
      </right>
      <top/>
      <bottom style="medium">
        <color rgb="FF38B6FF"/>
      </bottom>
      <diagonal/>
    </border>
  </borders>
  <cellStyleXfs count="6">
    <xf numFmtId="0" fontId="0" fillId="0" borderId="0"/>
    <xf numFmtId="0" fontId="1" fillId="0" borderId="0"/>
    <xf numFmtId="0" fontId="6" fillId="0" borderId="0"/>
    <xf numFmtId="9" fontId="23" fillId="0" borderId="0" applyFont="0" applyFill="0" applyBorder="0" applyAlignment="0" applyProtection="0"/>
    <xf numFmtId="0" fontId="28" fillId="0" borderId="0"/>
    <xf numFmtId="164" fontId="28" fillId="0" borderId="0" applyBorder="0" applyProtection="0"/>
  </cellStyleXfs>
  <cellXfs count="543">
    <xf numFmtId="0" fontId="0" fillId="0" borderId="0" xfId="0"/>
    <xf numFmtId="0" fontId="0" fillId="0" borderId="5" xfId="0" applyBorder="1"/>
    <xf numFmtId="0" fontId="0" fillId="0" borderId="30" xfId="0" applyBorder="1"/>
    <xf numFmtId="0" fontId="0" fillId="0" borderId="0" xfId="0" applyAlignment="1">
      <alignment vertical="center"/>
    </xf>
    <xf numFmtId="0" fontId="0" fillId="0" borderId="31" xfId="0" applyBorder="1"/>
    <xf numFmtId="0" fontId="7" fillId="6" borderId="1" xfId="0" applyFont="1" applyFill="1" applyBorder="1" applyAlignment="1">
      <alignment horizontal="center" vertical="center"/>
    </xf>
    <xf numFmtId="9" fontId="7" fillId="6" borderId="1" xfId="0" applyNumberFormat="1" applyFont="1" applyFill="1" applyBorder="1" applyAlignment="1">
      <alignment horizontal="center" vertical="center"/>
    </xf>
    <xf numFmtId="0" fontId="0" fillId="0" borderId="35" xfId="0" applyBorder="1"/>
    <xf numFmtId="0" fontId="2" fillId="0" borderId="6" xfId="0" applyFont="1" applyBorder="1" applyAlignment="1">
      <alignment horizontal="center" vertical="center"/>
    </xf>
    <xf numFmtId="0" fontId="7" fillId="6" borderId="11" xfId="0" applyFont="1" applyFill="1" applyBorder="1" applyAlignment="1">
      <alignment horizontal="center" vertical="center"/>
    </xf>
    <xf numFmtId="9" fontId="7" fillId="6" borderId="11" xfId="0" applyNumberFormat="1" applyFont="1" applyFill="1" applyBorder="1" applyAlignment="1">
      <alignment horizontal="center" vertical="center"/>
    </xf>
    <xf numFmtId="0" fontId="7" fillId="6" borderId="16" xfId="0" applyFont="1" applyFill="1" applyBorder="1" applyAlignment="1">
      <alignment horizontal="center" vertical="center"/>
    </xf>
    <xf numFmtId="9" fontId="7" fillId="6" borderId="16" xfId="0" applyNumberFormat="1" applyFont="1" applyFill="1" applyBorder="1" applyAlignment="1">
      <alignment horizontal="center" vertical="center"/>
    </xf>
    <xf numFmtId="0" fontId="7" fillId="0" borderId="23" xfId="0" applyFont="1" applyBorder="1" applyAlignment="1">
      <alignment horizontal="center" vertical="center"/>
    </xf>
    <xf numFmtId="0" fontId="7" fillId="0" borderId="1" xfId="0" applyFont="1" applyBorder="1" applyAlignment="1">
      <alignment horizontal="center" vertical="center"/>
    </xf>
    <xf numFmtId="9" fontId="7" fillId="0" borderId="1" xfId="0" applyNumberFormat="1" applyFont="1" applyBorder="1" applyAlignment="1">
      <alignment horizontal="center" vertical="center"/>
    </xf>
    <xf numFmtId="0" fontId="7" fillId="0" borderId="11" xfId="0" applyFont="1" applyBorder="1" applyAlignment="1">
      <alignment horizontal="center" vertical="center"/>
    </xf>
    <xf numFmtId="0" fontId="7" fillId="0" borderId="16" xfId="0" applyFont="1" applyBorder="1" applyAlignment="1">
      <alignment horizontal="center" vertical="center"/>
    </xf>
    <xf numFmtId="20" fontId="0" fillId="0" borderId="5" xfId="0" applyNumberFormat="1" applyBorder="1"/>
    <xf numFmtId="0" fontId="9" fillId="9" borderId="5" xfId="0" applyFont="1" applyFill="1" applyBorder="1" applyAlignment="1">
      <alignment vertical="center"/>
    </xf>
    <xf numFmtId="0" fontId="10" fillId="9" borderId="36" xfId="0" applyFont="1" applyFill="1" applyBorder="1" applyAlignment="1">
      <alignment horizontal="right" vertical="center" wrapText="1"/>
    </xf>
    <xf numFmtId="1" fontId="7" fillId="6" borderId="11" xfId="0" applyNumberFormat="1" applyFont="1" applyFill="1" applyBorder="1" applyAlignment="1">
      <alignment horizontal="center" vertical="center"/>
    </xf>
    <xf numFmtId="9" fontId="7" fillId="6" borderId="29" xfId="0" applyNumberFormat="1" applyFont="1" applyFill="1" applyBorder="1" applyAlignment="1">
      <alignment horizontal="center" vertical="center"/>
    </xf>
    <xf numFmtId="1" fontId="7" fillId="6" borderId="1" xfId="0" applyNumberFormat="1" applyFont="1" applyFill="1" applyBorder="1" applyAlignment="1">
      <alignment horizontal="center" vertical="center"/>
    </xf>
    <xf numFmtId="9" fontId="7" fillId="6" borderId="21" xfId="0" applyNumberFormat="1" applyFont="1" applyFill="1" applyBorder="1" applyAlignment="1">
      <alignment horizontal="center" vertical="center"/>
    </xf>
    <xf numFmtId="1" fontId="7" fillId="6" borderId="16" xfId="0" applyNumberFormat="1" applyFont="1" applyFill="1" applyBorder="1" applyAlignment="1">
      <alignment horizontal="center" vertical="center"/>
    </xf>
    <xf numFmtId="9" fontId="7" fillId="6" borderId="23" xfId="0" applyNumberFormat="1" applyFont="1" applyFill="1" applyBorder="1" applyAlignment="1">
      <alignment horizontal="center" vertical="center"/>
    </xf>
    <xf numFmtId="1" fontId="7" fillId="0" borderId="1" xfId="0" applyNumberFormat="1" applyFont="1" applyBorder="1" applyAlignment="1">
      <alignment horizontal="center" vertical="center"/>
    </xf>
    <xf numFmtId="9" fontId="7" fillId="0" borderId="21" xfId="0" applyNumberFormat="1" applyFont="1" applyBorder="1" applyAlignment="1">
      <alignment horizontal="center" vertical="center"/>
    </xf>
    <xf numFmtId="1" fontId="7" fillId="0" borderId="11" xfId="0" applyNumberFormat="1" applyFont="1" applyBorder="1" applyAlignment="1">
      <alignment horizontal="center" vertical="center"/>
    </xf>
    <xf numFmtId="9" fontId="7" fillId="0" borderId="11" xfId="0" applyNumberFormat="1" applyFont="1" applyBorder="1" applyAlignment="1">
      <alignment horizontal="center" vertical="center"/>
    </xf>
    <xf numFmtId="9" fontId="7" fillId="0" borderId="29" xfId="0" applyNumberFormat="1" applyFont="1" applyBorder="1" applyAlignment="1">
      <alignment horizontal="center" vertical="center"/>
    </xf>
    <xf numFmtId="1" fontId="7" fillId="0" borderId="16" xfId="0" applyNumberFormat="1" applyFont="1" applyBorder="1" applyAlignment="1">
      <alignment horizontal="center" vertical="center"/>
    </xf>
    <xf numFmtId="9" fontId="7" fillId="0" borderId="16" xfId="0" applyNumberFormat="1" applyFont="1" applyBorder="1" applyAlignment="1">
      <alignment horizontal="center" vertical="center"/>
    </xf>
    <xf numFmtId="9" fontId="7" fillId="0" borderId="23" xfId="0" applyNumberFormat="1" applyFont="1" applyBorder="1" applyAlignment="1">
      <alignment horizontal="center" vertical="center"/>
    </xf>
    <xf numFmtId="0" fontId="7" fillId="0" borderId="9" xfId="0" applyFont="1" applyBorder="1" applyAlignment="1">
      <alignment horizontal="center" vertical="center"/>
    </xf>
    <xf numFmtId="9" fontId="7" fillId="0" borderId="9" xfId="0" applyNumberFormat="1" applyFont="1" applyBorder="1" applyAlignment="1">
      <alignment horizontal="center" vertical="center"/>
    </xf>
    <xf numFmtId="9" fontId="7" fillId="0" borderId="25" xfId="0" applyNumberFormat="1" applyFont="1" applyBorder="1" applyAlignment="1">
      <alignment horizontal="center" vertical="center"/>
    </xf>
    <xf numFmtId="1" fontId="12" fillId="4" borderId="0" xfId="0" applyNumberFormat="1" applyFont="1" applyFill="1" applyAlignment="1" applyProtection="1">
      <alignment horizontal="center" vertical="center" wrapText="1"/>
      <protection locked="0"/>
    </xf>
    <xf numFmtId="1" fontId="12" fillId="3" borderId="0" xfId="0" applyNumberFormat="1" applyFont="1" applyFill="1" applyAlignment="1" applyProtection="1">
      <alignment horizontal="center" vertical="center" wrapText="1"/>
      <protection locked="0"/>
    </xf>
    <xf numFmtId="1" fontId="12" fillId="3" borderId="61" xfId="0" applyNumberFormat="1" applyFont="1" applyFill="1" applyBorder="1" applyAlignment="1" applyProtection="1">
      <alignment horizontal="center" vertical="center" wrapText="1"/>
      <protection locked="0"/>
    </xf>
    <xf numFmtId="1" fontId="12" fillId="4" borderId="58" xfId="0" applyNumberFormat="1" applyFont="1" applyFill="1" applyBorder="1" applyAlignment="1" applyProtection="1">
      <alignment horizontal="center" vertical="center" wrapText="1"/>
      <protection locked="0"/>
    </xf>
    <xf numFmtId="1" fontId="12" fillId="4" borderId="63" xfId="0" applyNumberFormat="1" applyFont="1" applyFill="1" applyBorder="1" applyAlignment="1" applyProtection="1">
      <alignment horizontal="center" vertical="center" wrapText="1"/>
      <protection locked="0"/>
    </xf>
    <xf numFmtId="1" fontId="12" fillId="4" borderId="64" xfId="0" applyNumberFormat="1" applyFont="1" applyFill="1" applyBorder="1" applyAlignment="1" applyProtection="1">
      <alignment horizontal="center" vertical="center" wrapText="1"/>
      <protection locked="0"/>
    </xf>
    <xf numFmtId="9" fontId="12" fillId="0" borderId="0" xfId="3" applyFont="1" applyFill="1" applyBorder="1" applyAlignment="1" applyProtection="1">
      <alignment horizontal="center" vertical="center" wrapText="1"/>
    </xf>
    <xf numFmtId="1" fontId="12" fillId="13" borderId="68" xfId="0" applyNumberFormat="1" applyFont="1" applyFill="1" applyBorder="1" applyAlignment="1" applyProtection="1">
      <alignment horizontal="center" vertical="center" wrapText="1"/>
      <protection locked="0"/>
    </xf>
    <xf numFmtId="1" fontId="12" fillId="13" borderId="69" xfId="0" applyNumberFormat="1" applyFont="1" applyFill="1" applyBorder="1" applyAlignment="1" applyProtection="1">
      <alignment horizontal="center" vertical="center" wrapText="1"/>
      <protection locked="0"/>
    </xf>
    <xf numFmtId="0" fontId="16" fillId="5" borderId="60" xfId="0" applyFont="1" applyFill="1" applyBorder="1" applyAlignment="1">
      <alignment horizontal="left" vertical="center" wrapText="1"/>
    </xf>
    <xf numFmtId="0" fontId="19" fillId="9" borderId="37" xfId="0" applyFont="1" applyFill="1" applyBorder="1" applyAlignment="1">
      <alignment vertical="center" wrapText="1"/>
    </xf>
    <xf numFmtId="0" fontId="12" fillId="4" borderId="73" xfId="0" applyFont="1" applyFill="1" applyBorder="1" applyAlignment="1" applyProtection="1">
      <alignment horizontal="center" vertical="center" wrapText="1"/>
      <protection locked="0"/>
    </xf>
    <xf numFmtId="0" fontId="12" fillId="4" borderId="74" xfId="0" applyFont="1" applyFill="1" applyBorder="1" applyAlignment="1" applyProtection="1">
      <alignment horizontal="center" vertical="center" wrapText="1"/>
      <protection locked="0"/>
    </xf>
    <xf numFmtId="0" fontId="12" fillId="4" borderId="19" xfId="0" applyFont="1" applyFill="1" applyBorder="1" applyAlignment="1" applyProtection="1">
      <alignment horizontal="center" vertical="center" wrapText="1"/>
      <protection locked="0"/>
    </xf>
    <xf numFmtId="1" fontId="12" fillId="13" borderId="73" xfId="0" applyNumberFormat="1" applyFont="1" applyFill="1" applyBorder="1" applyAlignment="1" applyProtection="1">
      <alignment horizontal="center" vertical="center" wrapText="1"/>
      <protection locked="0"/>
    </xf>
    <xf numFmtId="0" fontId="12" fillId="4" borderId="73" xfId="0" applyFont="1" applyFill="1" applyBorder="1" applyAlignment="1" applyProtection="1">
      <alignment horizontal="left" vertical="center" wrapText="1"/>
      <protection locked="0"/>
    </xf>
    <xf numFmtId="1" fontId="12" fillId="13" borderId="74" xfId="0" applyNumberFormat="1" applyFont="1" applyFill="1" applyBorder="1" applyAlignment="1" applyProtection="1">
      <alignment horizontal="center" vertical="center" wrapText="1"/>
      <protection locked="0"/>
    </xf>
    <xf numFmtId="1" fontId="12" fillId="13" borderId="73" xfId="0" applyNumberFormat="1" applyFont="1" applyFill="1" applyBorder="1" applyAlignment="1" applyProtection="1">
      <alignment horizontal="left" vertical="center" wrapText="1"/>
      <protection locked="0"/>
    </xf>
    <xf numFmtId="1" fontId="12" fillId="13" borderId="74" xfId="0" applyNumberFormat="1" applyFont="1" applyFill="1" applyBorder="1" applyAlignment="1" applyProtection="1">
      <alignment horizontal="left" vertical="center" wrapText="1"/>
      <protection locked="0"/>
    </xf>
    <xf numFmtId="1" fontId="12" fillId="3" borderId="58" xfId="0" applyNumberFormat="1" applyFont="1" applyFill="1" applyBorder="1" applyAlignment="1" applyProtection="1">
      <alignment horizontal="center" vertical="center" wrapText="1"/>
      <protection locked="0"/>
    </xf>
    <xf numFmtId="1" fontId="12" fillId="3" borderId="59" xfId="0" applyNumberFormat="1" applyFont="1" applyFill="1" applyBorder="1" applyAlignment="1" applyProtection="1">
      <alignment horizontal="center" vertical="center" wrapText="1"/>
      <protection locked="0"/>
    </xf>
    <xf numFmtId="1" fontId="12" fillId="3" borderId="53" xfId="0" applyNumberFormat="1" applyFont="1" applyFill="1" applyBorder="1" applyAlignment="1" applyProtection="1">
      <alignment horizontal="center" vertical="center" wrapText="1"/>
      <protection locked="0"/>
    </xf>
    <xf numFmtId="1" fontId="12" fillId="3" borderId="52" xfId="0" applyNumberFormat="1" applyFont="1" applyFill="1" applyBorder="1" applyAlignment="1" applyProtection="1">
      <alignment horizontal="center" vertical="center" wrapText="1"/>
      <protection locked="0"/>
    </xf>
    <xf numFmtId="1" fontId="12" fillId="4" borderId="71" xfId="0" applyNumberFormat="1" applyFont="1" applyFill="1" applyBorder="1" applyAlignment="1" applyProtection="1">
      <alignment horizontal="center" vertical="center" wrapText="1"/>
      <protection locked="0"/>
    </xf>
    <xf numFmtId="1" fontId="12" fillId="3" borderId="71" xfId="0" applyNumberFormat="1" applyFont="1" applyFill="1" applyBorder="1" applyAlignment="1" applyProtection="1">
      <alignment horizontal="center" vertical="center" wrapText="1"/>
      <protection locked="0"/>
    </xf>
    <xf numFmtId="1" fontId="12" fillId="3" borderId="54" xfId="0" applyNumberFormat="1" applyFont="1" applyFill="1" applyBorder="1" applyAlignment="1" applyProtection="1">
      <alignment horizontal="center" vertical="center" wrapText="1"/>
      <protection locked="0"/>
    </xf>
    <xf numFmtId="1" fontId="12" fillId="3" borderId="78" xfId="0" applyNumberFormat="1" applyFont="1" applyFill="1" applyBorder="1" applyAlignment="1" applyProtection="1">
      <alignment horizontal="center" vertical="center" wrapText="1"/>
      <protection locked="0"/>
    </xf>
    <xf numFmtId="1" fontId="12" fillId="4" borderId="53" xfId="0" applyNumberFormat="1" applyFont="1" applyFill="1" applyBorder="1" applyAlignment="1" applyProtection="1">
      <alignment horizontal="center" vertical="center" wrapText="1"/>
      <protection locked="0"/>
    </xf>
    <xf numFmtId="1" fontId="12" fillId="4" borderId="52" xfId="0" applyNumberFormat="1" applyFont="1" applyFill="1" applyBorder="1" applyAlignment="1" applyProtection="1">
      <alignment horizontal="center" vertical="center" wrapText="1"/>
      <protection locked="0"/>
    </xf>
    <xf numFmtId="1" fontId="12" fillId="4" borderId="54" xfId="0" applyNumberFormat="1" applyFont="1" applyFill="1" applyBorder="1" applyAlignment="1" applyProtection="1">
      <alignment horizontal="center" vertical="center" wrapText="1"/>
      <protection locked="0"/>
    </xf>
    <xf numFmtId="1" fontId="12" fillId="4" borderId="78" xfId="0" applyNumberFormat="1" applyFont="1" applyFill="1" applyBorder="1" applyAlignment="1" applyProtection="1">
      <alignment horizontal="center" vertical="center" wrapText="1"/>
      <protection locked="0"/>
    </xf>
    <xf numFmtId="9" fontId="12" fillId="0" borderId="53" xfId="3" applyFont="1" applyFill="1" applyBorder="1" applyAlignment="1" applyProtection="1">
      <alignment horizontal="center" vertical="center" wrapText="1"/>
    </xf>
    <xf numFmtId="9" fontId="12" fillId="0" borderId="52" xfId="3" applyFont="1" applyFill="1" applyBorder="1" applyAlignment="1" applyProtection="1">
      <alignment horizontal="center" vertical="center" wrapText="1"/>
    </xf>
    <xf numFmtId="9" fontId="12" fillId="0" borderId="71" xfId="3" applyFont="1" applyFill="1" applyBorder="1" applyAlignment="1" applyProtection="1">
      <alignment horizontal="center" vertical="center" wrapText="1"/>
    </xf>
    <xf numFmtId="9" fontId="12" fillId="0" borderId="54" xfId="3" applyFont="1" applyFill="1" applyBorder="1" applyAlignment="1" applyProtection="1">
      <alignment horizontal="center" vertical="center" wrapText="1"/>
    </xf>
    <xf numFmtId="9" fontId="12" fillId="0" borderId="78" xfId="3" applyFont="1" applyFill="1" applyBorder="1" applyAlignment="1" applyProtection="1">
      <alignment horizontal="center" vertical="center" wrapText="1"/>
    </xf>
    <xf numFmtId="0" fontId="29" fillId="0" borderId="0" xfId="0" applyFont="1" applyAlignment="1">
      <alignment vertical="center"/>
    </xf>
    <xf numFmtId="2" fontId="0" fillId="0" borderId="0" xfId="0" applyNumberFormat="1"/>
    <xf numFmtId="0" fontId="30" fillId="0" borderId="0" xfId="0" applyFont="1" applyAlignment="1">
      <alignment vertical="center" wrapText="1"/>
    </xf>
    <xf numFmtId="0" fontId="29" fillId="0" borderId="0" xfId="0" applyFont="1" applyAlignment="1">
      <alignment vertical="center" wrapText="1"/>
    </xf>
    <xf numFmtId="0" fontId="7" fillId="0" borderId="13" xfId="0" applyFont="1" applyBorder="1" applyAlignment="1">
      <alignment horizontal="center" vertical="center" wrapText="1"/>
    </xf>
    <xf numFmtId="0" fontId="7" fillId="0" borderId="15" xfId="0" applyFont="1" applyBorder="1" applyAlignment="1">
      <alignment horizontal="center" vertical="center" wrapText="1"/>
    </xf>
    <xf numFmtId="0" fontId="31" fillId="0" borderId="0" xfId="0" applyFont="1" applyAlignment="1">
      <alignment vertical="center"/>
    </xf>
    <xf numFmtId="0" fontId="32" fillId="0" borderId="79" xfId="4" applyFont="1" applyBorder="1" applyAlignment="1">
      <alignment horizontal="center" vertical="center" wrapText="1"/>
    </xf>
    <xf numFmtId="1" fontId="32" fillId="0" borderId="79" xfId="4" applyNumberFormat="1" applyFont="1" applyBorder="1" applyAlignment="1">
      <alignment horizontal="center" vertical="center" wrapText="1"/>
    </xf>
    <xf numFmtId="0" fontId="32" fillId="0" borderId="0" xfId="0" applyFont="1" applyAlignment="1">
      <alignment vertical="center"/>
    </xf>
    <xf numFmtId="1" fontId="31" fillId="0" borderId="79" xfId="0" applyNumberFormat="1" applyFont="1" applyBorder="1" applyAlignment="1">
      <alignment horizontal="center" vertical="center" wrapText="1"/>
    </xf>
    <xf numFmtId="9" fontId="32" fillId="0" borderId="0" xfId="3" applyFont="1" applyAlignment="1">
      <alignment horizontal="center" vertical="center" wrapText="1"/>
    </xf>
    <xf numFmtId="9" fontId="32" fillId="0" borderId="0" xfId="0" applyNumberFormat="1" applyFont="1" applyAlignment="1">
      <alignment horizontal="center" vertical="center" wrapText="1"/>
    </xf>
    <xf numFmtId="0" fontId="30" fillId="0" borderId="1" xfId="0" applyFont="1" applyBorder="1" applyAlignment="1">
      <alignment horizontal="center" vertical="center" wrapText="1"/>
    </xf>
    <xf numFmtId="0" fontId="7" fillId="6" borderId="29" xfId="0" applyFont="1" applyFill="1" applyBorder="1" applyAlignment="1">
      <alignment horizontal="center" vertical="center" wrapText="1"/>
    </xf>
    <xf numFmtId="0" fontId="7" fillId="6" borderId="10" xfId="0" applyFont="1" applyFill="1" applyBorder="1" applyAlignment="1">
      <alignment horizontal="center" vertical="center" wrapText="1"/>
    </xf>
    <xf numFmtId="0" fontId="7" fillId="6" borderId="11" xfId="0" applyFont="1" applyFill="1" applyBorder="1" applyAlignment="1">
      <alignment horizontal="center" vertical="center" wrapText="1"/>
    </xf>
    <xf numFmtId="9" fontId="7" fillId="6" borderId="10" xfId="0" applyNumberFormat="1" applyFont="1" applyFill="1" applyBorder="1" applyAlignment="1">
      <alignment horizontal="center" vertical="center" wrapText="1"/>
    </xf>
    <xf numFmtId="9" fontId="7" fillId="6" borderId="11" xfId="0" applyNumberFormat="1" applyFont="1" applyFill="1" applyBorder="1" applyAlignment="1">
      <alignment horizontal="center" vertical="center" wrapText="1"/>
    </xf>
    <xf numFmtId="9" fontId="7" fillId="6" borderId="29" xfId="0" applyNumberFormat="1" applyFont="1" applyFill="1" applyBorder="1" applyAlignment="1">
      <alignment horizontal="center" vertical="center" wrapText="1"/>
    </xf>
    <xf numFmtId="0" fontId="7" fillId="0" borderId="21" xfId="0" applyFont="1" applyBorder="1" applyAlignment="1">
      <alignment horizontal="center" vertical="center" wrapText="1"/>
    </xf>
    <xf numFmtId="0" fontId="7" fillId="0" borderId="1" xfId="0" applyFont="1" applyBorder="1" applyAlignment="1">
      <alignment horizontal="center" vertical="center" wrapText="1"/>
    </xf>
    <xf numFmtId="9" fontId="7" fillId="0" borderId="13" xfId="0" applyNumberFormat="1" applyFont="1" applyBorder="1" applyAlignment="1">
      <alignment horizontal="center" vertical="center" wrapText="1"/>
    </xf>
    <xf numFmtId="9" fontId="7" fillId="0" borderId="1" xfId="0" applyNumberFormat="1" applyFont="1" applyBorder="1" applyAlignment="1">
      <alignment horizontal="center" vertical="center" wrapText="1"/>
    </xf>
    <xf numFmtId="9" fontId="7" fillId="0" borderId="21" xfId="0" applyNumberFormat="1" applyFont="1" applyBorder="1" applyAlignment="1">
      <alignment horizontal="center" vertical="center" wrapText="1"/>
    </xf>
    <xf numFmtId="0" fontId="7" fillId="6" borderId="21" xfId="0" applyFont="1" applyFill="1" applyBorder="1" applyAlignment="1">
      <alignment horizontal="center" vertical="center" wrapText="1"/>
    </xf>
    <xf numFmtId="0" fontId="7" fillId="6" borderId="13" xfId="0" applyFont="1" applyFill="1" applyBorder="1" applyAlignment="1">
      <alignment horizontal="center" vertical="center" wrapText="1"/>
    </xf>
    <xf numFmtId="0" fontId="7" fillId="6" borderId="1" xfId="0" applyFont="1" applyFill="1" applyBorder="1" applyAlignment="1">
      <alignment horizontal="center" vertical="center" wrapText="1"/>
    </xf>
    <xf numFmtId="9" fontId="7" fillId="6" borderId="13" xfId="0" applyNumberFormat="1" applyFont="1" applyFill="1" applyBorder="1" applyAlignment="1">
      <alignment horizontal="center" vertical="center" wrapText="1"/>
    </xf>
    <xf numFmtId="9" fontId="7" fillId="6" borderId="1" xfId="0" applyNumberFormat="1" applyFont="1" applyFill="1" applyBorder="1" applyAlignment="1">
      <alignment horizontal="center" vertical="center" wrapText="1"/>
    </xf>
    <xf numFmtId="9" fontId="7" fillId="6" borderId="21" xfId="0" applyNumberFormat="1" applyFont="1" applyFill="1" applyBorder="1" applyAlignment="1">
      <alignment horizontal="center" vertical="center" wrapText="1"/>
    </xf>
    <xf numFmtId="0" fontId="7" fillId="0" borderId="23" xfId="0" applyFont="1" applyBorder="1" applyAlignment="1">
      <alignment horizontal="center" vertical="center" wrapText="1"/>
    </xf>
    <xf numFmtId="0" fontId="7" fillId="0" borderId="16" xfId="0" applyFont="1" applyBorder="1" applyAlignment="1">
      <alignment horizontal="center" vertical="center" wrapText="1"/>
    </xf>
    <xf numFmtId="9" fontId="7" fillId="0" borderId="15" xfId="0" applyNumberFormat="1" applyFont="1" applyBorder="1" applyAlignment="1">
      <alignment horizontal="center" vertical="center" wrapText="1"/>
    </xf>
    <xf numFmtId="9" fontId="7" fillId="0" borderId="16" xfId="0" applyNumberFormat="1" applyFont="1" applyBorder="1" applyAlignment="1">
      <alignment horizontal="center" vertical="center" wrapText="1"/>
    </xf>
    <xf numFmtId="9" fontId="7" fillId="0" borderId="23" xfId="0" applyNumberFormat="1" applyFont="1" applyBorder="1" applyAlignment="1">
      <alignment horizontal="center" vertical="center" wrapText="1"/>
    </xf>
    <xf numFmtId="0" fontId="29" fillId="0" borderId="1"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77" xfId="0" applyFont="1" applyBorder="1" applyAlignment="1">
      <alignment horizontal="center" vertical="center" wrapText="1"/>
    </xf>
    <xf numFmtId="0" fontId="7" fillId="6" borderId="26" xfId="0" applyFont="1" applyFill="1" applyBorder="1" applyAlignment="1">
      <alignment horizontal="center" vertical="center" wrapText="1"/>
    </xf>
    <xf numFmtId="0" fontId="7" fillId="0" borderId="27" xfId="0" applyFont="1" applyBorder="1" applyAlignment="1">
      <alignment horizontal="center" vertical="center" wrapText="1"/>
    </xf>
    <xf numFmtId="0" fontId="7" fillId="6" borderId="27" xfId="0" applyFont="1" applyFill="1" applyBorder="1" applyAlignment="1">
      <alignment horizontal="center" vertical="center" wrapText="1"/>
    </xf>
    <xf numFmtId="0" fontId="7" fillId="0" borderId="82" xfId="0" applyFont="1" applyBorder="1" applyAlignment="1">
      <alignment horizontal="center" vertical="center" wrapText="1"/>
    </xf>
    <xf numFmtId="0" fontId="7" fillId="0" borderId="1" xfId="0" applyFont="1" applyBorder="1" applyAlignment="1">
      <alignment vertical="center" wrapText="1"/>
    </xf>
    <xf numFmtId="0" fontId="7" fillId="0" borderId="11" xfId="0" applyFont="1" applyBorder="1" applyAlignment="1">
      <alignment horizontal="center" vertical="center" wrapText="1"/>
    </xf>
    <xf numFmtId="0" fontId="7" fillId="0" borderId="29" xfId="0" applyFont="1" applyBorder="1" applyAlignment="1">
      <alignment horizontal="center" vertical="center" wrapText="1"/>
    </xf>
    <xf numFmtId="0" fontId="7" fillId="6" borderId="16" xfId="0" applyFont="1" applyFill="1" applyBorder="1" applyAlignment="1">
      <alignment horizontal="center" vertical="center" wrapText="1"/>
    </xf>
    <xf numFmtId="9" fontId="7" fillId="6" borderId="16" xfId="0" applyNumberFormat="1" applyFont="1" applyFill="1" applyBorder="1" applyAlignment="1">
      <alignment horizontal="center" vertical="center" wrapText="1"/>
    </xf>
    <xf numFmtId="9" fontId="7" fillId="6" borderId="23" xfId="0" applyNumberFormat="1" applyFont="1" applyFill="1" applyBorder="1" applyAlignment="1">
      <alignment horizontal="center" vertical="center" wrapText="1"/>
    </xf>
    <xf numFmtId="9" fontId="7" fillId="0" borderId="11" xfId="0" applyNumberFormat="1" applyFont="1" applyBorder="1" applyAlignment="1">
      <alignment horizontal="center" vertical="center" wrapText="1"/>
    </xf>
    <xf numFmtId="9" fontId="7" fillId="0" borderId="29" xfId="0" applyNumberFormat="1" applyFont="1" applyBorder="1" applyAlignment="1">
      <alignment horizontal="center" vertical="center" wrapText="1"/>
    </xf>
    <xf numFmtId="0" fontId="7" fillId="6" borderId="15" xfId="0" applyFont="1" applyFill="1" applyBorder="1" applyAlignment="1">
      <alignment horizontal="center" vertical="center" wrapText="1"/>
    </xf>
    <xf numFmtId="0" fontId="7" fillId="6" borderId="23" xfId="0" applyFont="1" applyFill="1" applyBorder="1" applyAlignment="1">
      <alignment horizontal="center" vertical="center" wrapText="1"/>
    </xf>
    <xf numFmtId="9" fontId="7" fillId="6" borderId="15" xfId="0" applyNumberFormat="1" applyFont="1" applyFill="1" applyBorder="1" applyAlignment="1">
      <alignment horizontal="center" vertical="center" wrapText="1"/>
    </xf>
    <xf numFmtId="9" fontId="7" fillId="0" borderId="10" xfId="0" applyNumberFormat="1" applyFont="1" applyBorder="1" applyAlignment="1">
      <alignment horizontal="center" vertical="center" wrapText="1"/>
    </xf>
    <xf numFmtId="0" fontId="33" fillId="0" borderId="15" xfId="0" applyFont="1" applyBorder="1" applyAlignment="1">
      <alignment horizontal="center" vertical="center" wrapText="1"/>
    </xf>
    <xf numFmtId="0" fontId="7" fillId="0" borderId="42" xfId="0" applyFont="1" applyBorder="1" applyAlignment="1">
      <alignment horizontal="center" vertical="center" wrapText="1"/>
    </xf>
    <xf numFmtId="1" fontId="7" fillId="6" borderId="11" xfId="0" applyNumberFormat="1" applyFont="1" applyFill="1" applyBorder="1" applyAlignment="1">
      <alignment horizontal="center" vertical="center" wrapText="1"/>
    </xf>
    <xf numFmtId="1" fontId="7" fillId="0" borderId="1" xfId="0" applyNumberFormat="1" applyFont="1" applyBorder="1" applyAlignment="1">
      <alignment horizontal="center" vertical="center" wrapText="1"/>
    </xf>
    <xf numFmtId="1" fontId="7" fillId="0" borderId="21" xfId="0" applyNumberFormat="1" applyFont="1" applyBorder="1" applyAlignment="1">
      <alignment horizontal="center" vertical="center" wrapText="1"/>
    </xf>
    <xf numFmtId="1" fontId="7" fillId="6" borderId="16" xfId="0" applyNumberFormat="1" applyFont="1" applyFill="1" applyBorder="1" applyAlignment="1">
      <alignment horizontal="center" vertical="center" wrapText="1"/>
    </xf>
    <xf numFmtId="1" fontId="7" fillId="6" borderId="23" xfId="0" applyNumberFormat="1" applyFont="1" applyFill="1" applyBorder="1" applyAlignment="1">
      <alignment horizontal="center" vertical="center" wrapText="1"/>
    </xf>
    <xf numFmtId="1" fontId="7" fillId="6" borderId="1" xfId="0" applyNumberFormat="1" applyFont="1" applyFill="1" applyBorder="1" applyAlignment="1">
      <alignment horizontal="center" vertical="center" wrapText="1"/>
    </xf>
    <xf numFmtId="1" fontId="7" fillId="6" borderId="21" xfId="0" applyNumberFormat="1" applyFont="1" applyFill="1" applyBorder="1" applyAlignment="1">
      <alignment horizontal="center" vertical="center" wrapText="1"/>
    </xf>
    <xf numFmtId="1" fontId="7" fillId="6" borderId="45" xfId="0" applyNumberFormat="1" applyFont="1" applyFill="1" applyBorder="1" applyAlignment="1">
      <alignment horizontal="center" vertical="center" wrapText="1"/>
    </xf>
    <xf numFmtId="1" fontId="7" fillId="0" borderId="40" xfId="0" applyNumberFormat="1" applyFont="1" applyBorder="1" applyAlignment="1">
      <alignment horizontal="center" vertical="center" wrapText="1"/>
    </xf>
    <xf numFmtId="1" fontId="7" fillId="6" borderId="40" xfId="0" applyNumberFormat="1" applyFont="1" applyFill="1" applyBorder="1" applyAlignment="1">
      <alignment horizontal="center" vertical="center" wrapText="1"/>
    </xf>
    <xf numFmtId="1" fontId="7" fillId="6" borderId="42" xfId="0" applyNumberFormat="1" applyFont="1" applyFill="1" applyBorder="1" applyAlignment="1">
      <alignment horizontal="center" vertical="center" wrapText="1"/>
    </xf>
    <xf numFmtId="1" fontId="30" fillId="0" borderId="0" xfId="0" applyNumberFormat="1" applyFont="1" applyAlignment="1">
      <alignment horizontal="center" vertical="center" wrapText="1"/>
    </xf>
    <xf numFmtId="0" fontId="7" fillId="6" borderId="6" xfId="0" applyFont="1" applyFill="1" applyBorder="1" applyAlignment="1">
      <alignment horizontal="left" vertical="center" wrapText="1"/>
    </xf>
    <xf numFmtId="0" fontId="7" fillId="6" borderId="17" xfId="0" applyFont="1" applyFill="1" applyBorder="1" applyAlignment="1">
      <alignment horizontal="left" vertical="center" wrapText="1"/>
    </xf>
    <xf numFmtId="0" fontId="7" fillId="0" borderId="6" xfId="0" applyFont="1" applyBorder="1" applyAlignment="1">
      <alignment horizontal="left" vertical="center" wrapText="1"/>
    </xf>
    <xf numFmtId="0" fontId="7" fillId="0" borderId="0" xfId="0" applyFont="1" applyAlignment="1">
      <alignment horizontal="center" vertical="center" wrapText="1"/>
    </xf>
    <xf numFmtId="9" fontId="7" fillId="0" borderId="0" xfId="0" applyNumberFormat="1" applyFont="1" applyAlignment="1">
      <alignment horizontal="center" vertical="center" wrapText="1"/>
    </xf>
    <xf numFmtId="9" fontId="7" fillId="6" borderId="10" xfId="3" applyFont="1" applyFill="1" applyBorder="1" applyAlignment="1">
      <alignment horizontal="center" vertical="center" wrapText="1"/>
    </xf>
    <xf numFmtId="9" fontId="7" fillId="6" borderId="11" xfId="3" applyFont="1" applyFill="1" applyBorder="1" applyAlignment="1">
      <alignment horizontal="center" vertical="center" wrapText="1"/>
    </xf>
    <xf numFmtId="9" fontId="7" fillId="6" borderId="29" xfId="3" applyFont="1" applyFill="1" applyBorder="1" applyAlignment="1">
      <alignment horizontal="center" vertical="center" wrapText="1"/>
    </xf>
    <xf numFmtId="9" fontId="7" fillId="0" borderId="13" xfId="3" applyFont="1" applyBorder="1" applyAlignment="1">
      <alignment horizontal="center" vertical="center" wrapText="1"/>
    </xf>
    <xf numFmtId="9" fontId="7" fillId="0" borderId="1" xfId="3" applyFont="1" applyBorder="1" applyAlignment="1">
      <alignment horizontal="center" vertical="center" wrapText="1"/>
    </xf>
    <xf numFmtId="9" fontId="7" fillId="0" borderId="21" xfId="3" applyFont="1" applyBorder="1" applyAlignment="1">
      <alignment horizontal="center" vertical="center" wrapText="1"/>
    </xf>
    <xf numFmtId="9" fontId="7" fillId="6" borderId="13" xfId="3" applyFont="1" applyFill="1" applyBorder="1" applyAlignment="1">
      <alignment horizontal="center" vertical="center" wrapText="1"/>
    </xf>
    <xf numFmtId="9" fontId="7" fillId="6" borderId="1" xfId="3" applyFont="1" applyFill="1" applyBorder="1" applyAlignment="1">
      <alignment horizontal="center" vertical="center" wrapText="1"/>
    </xf>
    <xf numFmtId="9" fontId="7" fillId="6" borderId="21" xfId="3" applyFont="1" applyFill="1" applyBorder="1" applyAlignment="1">
      <alignment horizontal="center" vertical="center" wrapText="1"/>
    </xf>
    <xf numFmtId="9" fontId="7" fillId="0" borderId="15" xfId="3" applyFont="1" applyBorder="1" applyAlignment="1">
      <alignment horizontal="center" vertical="center" wrapText="1"/>
    </xf>
    <xf numFmtId="9" fontId="7" fillId="0" borderId="16" xfId="3" applyFont="1" applyBorder="1" applyAlignment="1">
      <alignment horizontal="center" vertical="center" wrapText="1"/>
    </xf>
    <xf numFmtId="9" fontId="7" fillId="0" borderId="23" xfId="3" applyFont="1" applyBorder="1" applyAlignment="1">
      <alignment horizontal="center" vertical="center" wrapText="1"/>
    </xf>
    <xf numFmtId="0" fontId="30" fillId="0" borderId="0" xfId="0" applyFont="1" applyAlignment="1">
      <alignment horizontal="left" vertical="center" wrapText="1"/>
    </xf>
    <xf numFmtId="0" fontId="0" fillId="0" borderId="0" xfId="0" applyAlignment="1">
      <alignment horizontal="left"/>
    </xf>
    <xf numFmtId="0" fontId="29" fillId="0" borderId="0" xfId="0" applyFont="1" applyAlignment="1">
      <alignment horizontal="left" vertical="center" wrapText="1"/>
    </xf>
    <xf numFmtId="0" fontId="7" fillId="6" borderId="29" xfId="0" applyFont="1" applyFill="1" applyBorder="1" applyAlignment="1">
      <alignment horizontal="left" vertical="center" wrapText="1"/>
    </xf>
    <xf numFmtId="0" fontId="7" fillId="0" borderId="21" xfId="0" applyFont="1" applyBorder="1" applyAlignment="1">
      <alignment horizontal="left" vertical="center" wrapText="1"/>
    </xf>
    <xf numFmtId="0" fontId="7" fillId="6" borderId="21" xfId="0" applyFont="1" applyFill="1" applyBorder="1" applyAlignment="1">
      <alignment horizontal="left" vertical="center" wrapText="1"/>
    </xf>
    <xf numFmtId="0" fontId="7" fillId="0" borderId="23" xfId="0" applyFont="1" applyBorder="1" applyAlignment="1">
      <alignment horizontal="left" vertical="center" wrapText="1"/>
    </xf>
    <xf numFmtId="0" fontId="7" fillId="6" borderId="26" xfId="0" applyFont="1" applyFill="1" applyBorder="1" applyAlignment="1">
      <alignment horizontal="left" vertical="center" wrapText="1"/>
    </xf>
    <xf numFmtId="0" fontId="7" fillId="0" borderId="27" xfId="0" applyFont="1" applyBorder="1" applyAlignment="1">
      <alignment horizontal="left" vertical="center" wrapText="1"/>
    </xf>
    <xf numFmtId="0" fontId="7" fillId="6" borderId="27" xfId="0" applyFont="1" applyFill="1" applyBorder="1" applyAlignment="1">
      <alignment horizontal="left" vertical="center" wrapText="1"/>
    </xf>
    <xf numFmtId="0" fontId="7" fillId="0" borderId="82" xfId="0" applyFont="1" applyBorder="1" applyAlignment="1">
      <alignment horizontal="left" vertical="center" wrapText="1"/>
    </xf>
    <xf numFmtId="0" fontId="7" fillId="0" borderId="0" xfId="0" applyFont="1" applyAlignment="1">
      <alignment horizontal="left" vertical="center" wrapText="1"/>
    </xf>
    <xf numFmtId="0" fontId="33" fillId="6" borderId="29" xfId="0" applyFont="1" applyFill="1" applyBorder="1" applyAlignment="1">
      <alignment horizontal="left" vertical="center" wrapText="1"/>
    </xf>
    <xf numFmtId="0" fontId="33" fillId="0" borderId="21" xfId="0" applyFont="1" applyBorder="1" applyAlignment="1">
      <alignment horizontal="left" vertical="center" wrapText="1"/>
    </xf>
    <xf numFmtId="0" fontId="33" fillId="6" borderId="23" xfId="0" applyFont="1" applyFill="1" applyBorder="1" applyAlignment="1">
      <alignment horizontal="left" vertical="center" wrapText="1"/>
    </xf>
    <xf numFmtId="0" fontId="33" fillId="0" borderId="29" xfId="0" applyFont="1" applyBorder="1" applyAlignment="1">
      <alignment horizontal="left" vertical="center" wrapText="1"/>
    </xf>
    <xf numFmtId="0" fontId="33" fillId="6" borderId="21" xfId="0" applyFont="1" applyFill="1" applyBorder="1" applyAlignment="1">
      <alignment horizontal="left" vertical="center" wrapText="1"/>
    </xf>
    <xf numFmtId="0" fontId="33" fillId="0" borderId="23" xfId="0" applyFont="1" applyBorder="1" applyAlignment="1">
      <alignment horizontal="left" vertical="center" wrapText="1"/>
    </xf>
    <xf numFmtId="0" fontId="33" fillId="0" borderId="0" xfId="0" applyFont="1" applyAlignment="1">
      <alignment horizontal="left" vertical="center" wrapText="1"/>
    </xf>
    <xf numFmtId="0" fontId="7" fillId="6" borderId="23" xfId="0" applyFont="1" applyFill="1" applyBorder="1" applyAlignment="1">
      <alignment horizontal="left" vertical="center" wrapText="1"/>
    </xf>
    <xf numFmtId="0" fontId="7" fillId="0" borderId="77" xfId="0" applyFont="1" applyBorder="1" applyAlignment="1">
      <alignment horizontal="left" vertical="center" wrapText="1"/>
    </xf>
    <xf numFmtId="0" fontId="33" fillId="6" borderId="26" xfId="0" applyFont="1" applyFill="1" applyBorder="1" applyAlignment="1">
      <alignment horizontal="left" vertical="center" wrapText="1"/>
    </xf>
    <xf numFmtId="0" fontId="33" fillId="0" borderId="27" xfId="0" applyFont="1" applyBorder="1" applyAlignment="1">
      <alignment horizontal="left" vertical="center" wrapText="1"/>
    </xf>
    <xf numFmtId="0" fontId="33" fillId="6" borderId="27" xfId="0" applyFont="1" applyFill="1" applyBorder="1" applyAlignment="1">
      <alignment horizontal="left" vertical="center" wrapText="1"/>
    </xf>
    <xf numFmtId="0" fontId="33" fillId="6" borderId="82" xfId="0" applyFont="1" applyFill="1" applyBorder="1" applyAlignment="1">
      <alignment horizontal="left" vertical="center" wrapText="1"/>
    </xf>
    <xf numFmtId="0" fontId="7" fillId="6" borderId="55" xfId="0" applyFont="1" applyFill="1" applyBorder="1" applyAlignment="1">
      <alignment horizontal="left" vertical="center" wrapText="1"/>
    </xf>
    <xf numFmtId="9" fontId="7" fillId="6" borderId="45" xfId="0" applyNumberFormat="1" applyFont="1" applyFill="1" applyBorder="1" applyAlignment="1">
      <alignment horizontal="center" vertical="center" wrapText="1"/>
    </xf>
    <xf numFmtId="9" fontId="7" fillId="0" borderId="40" xfId="0" applyNumberFormat="1" applyFont="1" applyBorder="1" applyAlignment="1">
      <alignment horizontal="center" vertical="center" wrapText="1"/>
    </xf>
    <xf numFmtId="9" fontId="7" fillId="6" borderId="40" xfId="0" applyNumberFormat="1" applyFont="1" applyFill="1" applyBorder="1" applyAlignment="1">
      <alignment horizontal="center" vertical="center" wrapText="1"/>
    </xf>
    <xf numFmtId="9" fontId="7" fillId="6" borderId="42" xfId="0" applyNumberFormat="1" applyFont="1" applyFill="1" applyBorder="1" applyAlignment="1">
      <alignment horizontal="center" vertical="center" wrapText="1"/>
    </xf>
    <xf numFmtId="0" fontId="0" fillId="17" borderId="0" xfId="0" applyFill="1"/>
    <xf numFmtId="0" fontId="33" fillId="0" borderId="16" xfId="0" applyFont="1" applyBorder="1" applyAlignment="1">
      <alignment horizontal="center" vertical="center" wrapText="1"/>
    </xf>
    <xf numFmtId="0" fontId="33" fillId="0" borderId="23" xfId="0" applyFont="1" applyBorder="1" applyAlignment="1">
      <alignment horizontal="center" vertical="center" wrapText="1"/>
    </xf>
    <xf numFmtId="0" fontId="33" fillId="0" borderId="14" xfId="0" applyFont="1" applyBorder="1" applyAlignment="1">
      <alignment horizontal="left" vertical="center" wrapText="1"/>
    </xf>
    <xf numFmtId="0" fontId="33" fillId="6" borderId="14" xfId="0" applyFont="1" applyFill="1" applyBorder="1" applyAlignment="1">
      <alignment horizontal="left" vertical="center" wrapText="1"/>
    </xf>
    <xf numFmtId="0" fontId="33" fillId="6" borderId="84" xfId="0" applyFont="1" applyFill="1" applyBorder="1" applyAlignment="1">
      <alignment horizontal="left" vertical="center" wrapText="1"/>
    </xf>
    <xf numFmtId="0" fontId="0" fillId="0" borderId="0" xfId="0" applyAlignment="1">
      <alignment wrapText="1"/>
    </xf>
    <xf numFmtId="0" fontId="34" fillId="0" borderId="0" xfId="0" applyFont="1" applyAlignment="1">
      <alignment wrapText="1"/>
    </xf>
    <xf numFmtId="0" fontId="0" fillId="0" borderId="0" xfId="0" applyAlignment="1">
      <alignment vertical="center" wrapText="1"/>
    </xf>
    <xf numFmtId="1" fontId="7" fillId="0" borderId="10" xfId="0" applyNumberFormat="1" applyFont="1" applyBorder="1" applyAlignment="1">
      <alignment horizontal="center" vertical="center" wrapText="1"/>
    </xf>
    <xf numFmtId="1" fontId="7" fillId="0" borderId="11" xfId="0" applyNumberFormat="1" applyFont="1" applyBorder="1" applyAlignment="1">
      <alignment horizontal="center" vertical="center" wrapText="1"/>
    </xf>
    <xf numFmtId="1" fontId="7" fillId="6" borderId="13" xfId="0" applyNumberFormat="1" applyFont="1" applyFill="1" applyBorder="1" applyAlignment="1">
      <alignment horizontal="center" vertical="center" wrapText="1"/>
    </xf>
    <xf numFmtId="1" fontId="7" fillId="0" borderId="13" xfId="0" applyNumberFormat="1" applyFont="1" applyBorder="1" applyAlignment="1">
      <alignment horizontal="center" vertical="center" wrapText="1"/>
    </xf>
    <xf numFmtId="1" fontId="7" fillId="6" borderId="15" xfId="0" applyNumberFormat="1" applyFont="1" applyFill="1" applyBorder="1" applyAlignment="1">
      <alignment horizontal="center" vertical="center" wrapText="1"/>
    </xf>
    <xf numFmtId="0" fontId="33" fillId="0" borderId="44" xfId="0" applyFont="1" applyBorder="1" applyAlignment="1">
      <alignment horizontal="left" vertical="center" wrapText="1"/>
    </xf>
    <xf numFmtId="0" fontId="33" fillId="0" borderId="12" xfId="0" applyFont="1" applyBorder="1" applyAlignment="1">
      <alignment horizontal="left" vertical="center" wrapText="1"/>
    </xf>
    <xf numFmtId="0" fontId="33" fillId="6" borderId="12" xfId="0" applyFont="1" applyFill="1" applyBorder="1" applyAlignment="1">
      <alignment horizontal="left" vertical="center" wrapText="1"/>
    </xf>
    <xf numFmtId="0" fontId="7" fillId="10" borderId="85" xfId="0" applyFont="1" applyFill="1" applyBorder="1" applyAlignment="1">
      <alignment horizontal="center" vertical="center" wrapText="1"/>
    </xf>
    <xf numFmtId="0" fontId="7" fillId="17" borderId="86" xfId="0" applyFont="1" applyFill="1" applyBorder="1" applyAlignment="1">
      <alignment horizontal="center" vertical="center" wrapText="1"/>
    </xf>
    <xf numFmtId="1" fontId="7" fillId="6" borderId="12" xfId="0" applyNumberFormat="1" applyFont="1" applyFill="1" applyBorder="1" applyAlignment="1">
      <alignment horizontal="center" vertical="center" wrapText="1"/>
    </xf>
    <xf numFmtId="1" fontId="7" fillId="0" borderId="14" xfId="0" applyNumberFormat="1" applyFont="1" applyBorder="1" applyAlignment="1">
      <alignment horizontal="center" vertical="center" wrapText="1"/>
    </xf>
    <xf numFmtId="1" fontId="7" fillId="6" borderId="14" xfId="0" applyNumberFormat="1" applyFont="1" applyFill="1" applyBorder="1" applyAlignment="1">
      <alignment horizontal="center" vertical="center" wrapText="1"/>
    </xf>
    <xf numFmtId="1" fontId="7" fillId="6" borderId="84" xfId="0" applyNumberFormat="1" applyFont="1" applyFill="1" applyBorder="1" applyAlignment="1">
      <alignment horizontal="center" vertical="center" wrapText="1"/>
    </xf>
    <xf numFmtId="1" fontId="7" fillId="0" borderId="29" xfId="0" applyNumberFormat="1" applyFont="1" applyBorder="1" applyAlignment="1">
      <alignment horizontal="center" vertical="center" wrapText="1"/>
    </xf>
    <xf numFmtId="0" fontId="7" fillId="18" borderId="86" xfId="0" applyFont="1" applyFill="1" applyBorder="1" applyAlignment="1">
      <alignment horizontal="center" vertical="center" wrapText="1"/>
    </xf>
    <xf numFmtId="0" fontId="7" fillId="20" borderId="87" xfId="0" applyFont="1" applyFill="1" applyBorder="1" applyAlignment="1">
      <alignment horizontal="center" vertical="center" wrapText="1"/>
    </xf>
    <xf numFmtId="0" fontId="7" fillId="6" borderId="85" xfId="0" applyFont="1" applyFill="1" applyBorder="1" applyAlignment="1">
      <alignment horizontal="center" vertical="center" wrapText="1"/>
    </xf>
    <xf numFmtId="0" fontId="7" fillId="6" borderId="86" xfId="0" applyFont="1" applyFill="1" applyBorder="1" applyAlignment="1">
      <alignment horizontal="center" vertical="center" wrapText="1"/>
    </xf>
    <xf numFmtId="0" fontId="7" fillId="6" borderId="87" xfId="0" applyFont="1" applyFill="1" applyBorder="1" applyAlignment="1">
      <alignment horizontal="center" vertical="center" wrapText="1"/>
    </xf>
    <xf numFmtId="0" fontId="33" fillId="6" borderId="44" xfId="0" applyFont="1" applyFill="1" applyBorder="1" applyAlignment="1">
      <alignment horizontal="left" vertical="center" wrapText="1"/>
    </xf>
    <xf numFmtId="0" fontId="4" fillId="0" borderId="79" xfId="0" applyFont="1" applyBorder="1" applyAlignment="1">
      <alignment horizontal="center" vertical="center"/>
    </xf>
    <xf numFmtId="0" fontId="4" fillId="0" borderId="79" xfId="0" applyFont="1" applyBorder="1" applyAlignment="1">
      <alignment vertical="center"/>
    </xf>
    <xf numFmtId="14" fontId="2" fillId="7" borderId="79" xfId="0" applyNumberFormat="1" applyFont="1" applyFill="1" applyBorder="1" applyAlignment="1" applyProtection="1">
      <alignment vertical="center"/>
      <protection locked="0"/>
    </xf>
    <xf numFmtId="0" fontId="2" fillId="7" borderId="79" xfId="0" applyFont="1" applyFill="1" applyBorder="1" applyAlignment="1" applyProtection="1">
      <alignment vertical="center"/>
      <protection locked="0"/>
    </xf>
    <xf numFmtId="0" fontId="2" fillId="7" borderId="79" xfId="0" applyFont="1" applyFill="1" applyBorder="1" applyAlignment="1" applyProtection="1">
      <alignment horizontal="left" vertical="center"/>
      <protection locked="0"/>
    </xf>
    <xf numFmtId="0" fontId="4" fillId="0" borderId="79" xfId="0" applyFont="1" applyBorder="1" applyAlignment="1">
      <alignment vertical="center" wrapText="1"/>
    </xf>
    <xf numFmtId="0" fontId="2" fillId="7" borderId="79" xfId="0" applyFont="1" applyFill="1" applyBorder="1" applyAlignment="1" applyProtection="1">
      <alignment vertical="center" wrapText="1"/>
      <protection locked="0"/>
    </xf>
    <xf numFmtId="0" fontId="2" fillId="7" borderId="79" xfId="0" applyFont="1" applyFill="1" applyBorder="1" applyAlignment="1" applyProtection="1">
      <alignment vertical="top"/>
      <protection locked="0"/>
    </xf>
    <xf numFmtId="0" fontId="4" fillId="0" borderId="6" xfId="0" applyFont="1" applyBorder="1" applyAlignment="1">
      <alignment vertical="center"/>
    </xf>
    <xf numFmtId="14" fontId="0" fillId="7" borderId="79" xfId="0" applyNumberFormat="1" applyFill="1" applyBorder="1" applyAlignment="1" applyProtection="1">
      <alignment vertical="center" wrapText="1"/>
      <protection locked="0"/>
    </xf>
    <xf numFmtId="0" fontId="16" fillId="5" borderId="79" xfId="0" applyFont="1" applyFill="1" applyBorder="1" applyAlignment="1">
      <alignment horizontal="left" vertical="center" wrapText="1"/>
    </xf>
    <xf numFmtId="0" fontId="7" fillId="17" borderId="79" xfId="0" applyFont="1" applyFill="1" applyBorder="1" applyAlignment="1">
      <alignment horizontal="center" vertical="center" wrapText="1"/>
    </xf>
    <xf numFmtId="0" fontId="7" fillId="18" borderId="79" xfId="0" applyFont="1" applyFill="1" applyBorder="1" applyAlignment="1">
      <alignment horizontal="center" vertical="center" wrapText="1"/>
    </xf>
    <xf numFmtId="0" fontId="7" fillId="20" borderId="79" xfId="0" applyFont="1" applyFill="1" applyBorder="1" applyAlignment="1">
      <alignment horizontal="center" vertical="center" wrapText="1"/>
    </xf>
    <xf numFmtId="0" fontId="7" fillId="10" borderId="88" xfId="0" applyFont="1" applyFill="1" applyBorder="1" applyAlignment="1">
      <alignment horizontal="center" vertical="center" wrapText="1"/>
    </xf>
    <xf numFmtId="1" fontId="7" fillId="9" borderId="88" xfId="0" applyNumberFormat="1" applyFont="1" applyFill="1" applyBorder="1" applyAlignment="1">
      <alignment horizontal="center" vertical="center" wrapText="1"/>
    </xf>
    <xf numFmtId="1" fontId="7" fillId="9" borderId="79" xfId="0" applyNumberFormat="1" applyFont="1" applyFill="1" applyBorder="1" applyAlignment="1">
      <alignment horizontal="center" vertical="center" wrapText="1"/>
    </xf>
    <xf numFmtId="0" fontId="7" fillId="0" borderId="90" xfId="0" applyFont="1" applyBorder="1" applyAlignment="1">
      <alignment horizontal="center" vertical="center" wrapText="1"/>
    </xf>
    <xf numFmtId="0" fontId="7" fillId="0" borderId="91" xfId="0" applyFont="1" applyBorder="1" applyAlignment="1">
      <alignment horizontal="center" vertical="center" wrapText="1"/>
    </xf>
    <xf numFmtId="0" fontId="7" fillId="0" borderId="92" xfId="0" applyFont="1" applyBorder="1" applyAlignment="1">
      <alignment horizontal="center" vertical="center" wrapText="1"/>
    </xf>
    <xf numFmtId="1" fontId="7" fillId="9" borderId="93" xfId="0" applyNumberFormat="1" applyFont="1" applyFill="1" applyBorder="1" applyAlignment="1">
      <alignment horizontal="center" vertical="center" wrapText="1"/>
    </xf>
    <xf numFmtId="1" fontId="7" fillId="9" borderId="94" xfId="0" applyNumberFormat="1" applyFont="1" applyFill="1" applyBorder="1" applyAlignment="1">
      <alignment horizontal="center" vertical="center" wrapText="1"/>
    </xf>
    <xf numFmtId="1" fontId="30" fillId="0" borderId="95" xfId="0" applyNumberFormat="1" applyFont="1" applyBorder="1" applyAlignment="1">
      <alignment horizontal="center" vertical="center" wrapText="1"/>
    </xf>
    <xf numFmtId="1" fontId="7" fillId="9" borderId="90" xfId="0" applyNumberFormat="1" applyFont="1" applyFill="1" applyBorder="1" applyAlignment="1">
      <alignment horizontal="center" vertical="center" wrapText="1"/>
    </xf>
    <xf numFmtId="1" fontId="7" fillId="9" borderId="91" xfId="0" applyNumberFormat="1" applyFont="1" applyFill="1" applyBorder="1" applyAlignment="1">
      <alignment horizontal="center" vertical="center" wrapText="1"/>
    </xf>
    <xf numFmtId="1" fontId="30" fillId="0" borderId="92" xfId="0" applyNumberFormat="1" applyFont="1" applyBorder="1" applyAlignment="1">
      <alignment horizontal="center" vertical="center" wrapText="1"/>
    </xf>
    <xf numFmtId="9" fontId="30" fillId="0" borderId="10" xfId="3" applyFont="1" applyBorder="1" applyAlignment="1">
      <alignment horizontal="center" vertical="center" wrapText="1"/>
    </xf>
    <xf numFmtId="9" fontId="30" fillId="0" borderId="11" xfId="3" applyFont="1" applyBorder="1" applyAlignment="1">
      <alignment horizontal="center" vertical="center" wrapText="1"/>
    </xf>
    <xf numFmtId="9" fontId="30" fillId="0" borderId="29" xfId="3" applyFont="1" applyBorder="1" applyAlignment="1">
      <alignment horizontal="center" vertical="center" wrapText="1"/>
    </xf>
    <xf numFmtId="9" fontId="30" fillId="0" borderId="15" xfId="3" applyFont="1" applyBorder="1" applyAlignment="1">
      <alignment horizontal="center" vertical="center" wrapText="1"/>
    </xf>
    <xf numFmtId="9" fontId="30" fillId="0" borderId="16" xfId="3" applyFont="1" applyBorder="1" applyAlignment="1">
      <alignment horizontal="center" vertical="center" wrapText="1"/>
    </xf>
    <xf numFmtId="9" fontId="30" fillId="0" borderId="23" xfId="3" applyFont="1" applyBorder="1" applyAlignment="1">
      <alignment horizontal="center" vertical="center" wrapText="1"/>
    </xf>
    <xf numFmtId="9" fontId="12" fillId="0" borderId="48" xfId="3" applyFont="1" applyFill="1" applyBorder="1" applyAlignment="1" applyProtection="1">
      <alignment horizontal="center" vertical="center" wrapText="1"/>
    </xf>
    <xf numFmtId="9" fontId="12" fillId="0" borderId="49" xfId="3" applyFont="1" applyFill="1" applyBorder="1" applyAlignment="1" applyProtection="1">
      <alignment horizontal="center" vertical="center" wrapText="1"/>
    </xf>
    <xf numFmtId="9" fontId="12" fillId="0" borderId="50" xfId="3" applyFont="1" applyFill="1" applyBorder="1" applyAlignment="1" applyProtection="1">
      <alignment horizontal="center" vertical="center" wrapText="1"/>
    </xf>
    <xf numFmtId="1" fontId="12" fillId="4" borderId="48" xfId="0" applyNumberFormat="1" applyFont="1" applyFill="1" applyBorder="1" applyAlignment="1" applyProtection="1">
      <alignment horizontal="center" vertical="center" wrapText="1"/>
      <protection locked="0"/>
    </xf>
    <xf numFmtId="1" fontId="12" fillId="3" borderId="49" xfId="0" applyNumberFormat="1" applyFont="1" applyFill="1" applyBorder="1" applyAlignment="1" applyProtection="1">
      <alignment horizontal="center" vertical="center" wrapText="1"/>
      <protection locked="0"/>
    </xf>
    <xf numFmtId="1" fontId="12" fillId="4" borderId="50" xfId="0" applyNumberFormat="1" applyFont="1" applyFill="1" applyBorder="1" applyAlignment="1" applyProtection="1">
      <alignment horizontal="center" vertical="center" wrapText="1"/>
      <protection locked="0"/>
    </xf>
    <xf numFmtId="0" fontId="30" fillId="0" borderId="0" xfId="0" applyFont="1" applyAlignment="1">
      <alignment horizontal="center" vertical="center" wrapText="1"/>
    </xf>
    <xf numFmtId="0" fontId="11" fillId="8" borderId="32" xfId="0" applyFont="1" applyFill="1" applyBorder="1" applyAlignment="1">
      <alignment horizontal="center" vertical="center"/>
    </xf>
    <xf numFmtId="0" fontId="11" fillId="8" borderId="33" xfId="0" applyFont="1" applyFill="1" applyBorder="1" applyAlignment="1">
      <alignment horizontal="center" vertical="center"/>
    </xf>
    <xf numFmtId="0" fontId="12" fillId="9" borderId="32" xfId="0" applyFont="1" applyFill="1" applyBorder="1" applyAlignment="1">
      <alignment horizontal="left" vertical="center" wrapText="1"/>
    </xf>
    <xf numFmtId="0" fontId="12" fillId="9" borderId="33" xfId="0" applyFont="1" applyFill="1" applyBorder="1" applyAlignment="1">
      <alignment horizontal="left" vertical="center" wrapText="1"/>
    </xf>
    <xf numFmtId="0" fontId="15" fillId="2" borderId="72" xfId="0" applyFont="1" applyFill="1" applyBorder="1" applyAlignment="1">
      <alignment horizontal="center" vertical="center" wrapText="1"/>
    </xf>
    <xf numFmtId="0" fontId="30" fillId="0" borderId="90" xfId="0" applyFont="1" applyBorder="1" applyAlignment="1">
      <alignment horizontal="left" vertical="center" wrapText="1"/>
    </xf>
    <xf numFmtId="0" fontId="30" fillId="0" borderId="92" xfId="0" applyFont="1" applyBorder="1" applyAlignment="1">
      <alignment horizontal="left" vertical="center" wrapText="1"/>
    </xf>
    <xf numFmtId="0" fontId="7" fillId="0" borderId="48" xfId="0" applyFont="1" applyBorder="1" applyAlignment="1">
      <alignment horizontal="center" vertical="center" wrapText="1"/>
    </xf>
    <xf numFmtId="0" fontId="7" fillId="0" borderId="53"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54"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89" xfId="0" applyFont="1" applyBorder="1" applyAlignment="1">
      <alignment horizontal="center" vertical="center" wrapText="1"/>
    </xf>
    <xf numFmtId="0" fontId="37" fillId="0" borderId="28" xfId="0" applyFont="1" applyBorder="1" applyAlignment="1">
      <alignment horizontal="center" vertical="center" wrapText="1"/>
    </xf>
    <xf numFmtId="0" fontId="37" fillId="0" borderId="80" xfId="0" applyFont="1" applyBorder="1" applyAlignment="1">
      <alignment horizontal="center" vertical="center" wrapText="1"/>
    </xf>
    <xf numFmtId="0" fontId="37" fillId="0" borderId="81"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15"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56" xfId="0" applyFont="1" applyBorder="1" applyAlignment="1">
      <alignment horizontal="center" vertical="center" wrapText="1"/>
    </xf>
    <xf numFmtId="0" fontId="7" fillId="0" borderId="12" xfId="0" applyFont="1" applyBorder="1" applyAlignment="1">
      <alignment horizontal="center" vertical="center" wrapText="1"/>
    </xf>
    <xf numFmtId="0" fontId="35" fillId="19" borderId="0" xfId="0" applyFont="1" applyFill="1" applyAlignment="1">
      <alignment horizontal="center" vertical="center"/>
    </xf>
    <xf numFmtId="0" fontId="35" fillId="16" borderId="0" xfId="4" applyFont="1" applyFill="1" applyAlignment="1" applyProtection="1">
      <alignment horizontal="center" vertical="center" wrapText="1"/>
      <protection locked="0"/>
    </xf>
    <xf numFmtId="0" fontId="30" fillId="0" borderId="28" xfId="0" applyFont="1" applyBorder="1" applyAlignment="1">
      <alignment horizontal="center" vertical="center" wrapText="1"/>
    </xf>
    <xf numFmtId="0" fontId="30" fillId="0" borderId="80" xfId="0" applyFont="1" applyBorder="1" applyAlignment="1">
      <alignment horizontal="center" vertical="center" wrapText="1"/>
    </xf>
    <xf numFmtId="0" fontId="30" fillId="0" borderId="22"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7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29" xfId="0" applyFont="1" applyBorder="1" applyAlignment="1">
      <alignment horizontal="center" vertical="center" wrapText="1"/>
    </xf>
    <xf numFmtId="0" fontId="5" fillId="19" borderId="0" xfId="0" applyFont="1" applyFill="1" applyAlignment="1">
      <alignment horizontal="center" vertical="center"/>
    </xf>
    <xf numFmtId="0" fontId="7" fillId="0" borderId="77" xfId="0" applyFont="1" applyBorder="1" applyAlignment="1">
      <alignment horizontal="center" vertical="center" wrapText="1"/>
    </xf>
    <xf numFmtId="0" fontId="7" fillId="6" borderId="77" xfId="0" applyFont="1" applyFill="1" applyBorder="1" applyAlignment="1">
      <alignment horizontal="center" vertical="center" wrapText="1"/>
    </xf>
    <xf numFmtId="0" fontId="30" fillId="0" borderId="93" xfId="0" applyFont="1" applyBorder="1" applyAlignment="1">
      <alignment horizontal="left" vertical="center" wrapText="1"/>
    </xf>
    <xf numFmtId="0" fontId="30" fillId="0" borderId="95" xfId="0" applyFont="1" applyBorder="1" applyAlignment="1">
      <alignment horizontal="left" vertical="center" wrapText="1"/>
    </xf>
    <xf numFmtId="0" fontId="30" fillId="0" borderId="79" xfId="0" applyFont="1" applyBorder="1" applyAlignment="1">
      <alignment horizontal="left" vertical="center" wrapText="1"/>
    </xf>
    <xf numFmtId="0" fontId="30" fillId="0" borderId="20" xfId="0" applyFont="1" applyBorder="1" applyAlignment="1">
      <alignment horizontal="center" vertical="center" wrapText="1"/>
    </xf>
    <xf numFmtId="0" fontId="30" fillId="0" borderId="56" xfId="0" applyFont="1" applyBorder="1" applyAlignment="1">
      <alignment horizontal="center" vertical="center" wrapText="1"/>
    </xf>
    <xf numFmtId="0" fontId="30"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19" xfId="0" applyFont="1" applyBorder="1" applyAlignment="1">
      <alignment horizontal="center" vertical="center" wrapText="1"/>
    </xf>
    <xf numFmtId="0" fontId="5" fillId="16" borderId="0" xfId="4" applyFont="1" applyFill="1" applyAlignment="1" applyProtection="1">
      <alignment horizontal="center" vertical="center" wrapText="1"/>
      <protection locked="0"/>
    </xf>
    <xf numFmtId="0" fontId="7" fillId="0" borderId="80" xfId="0" applyFont="1" applyBorder="1" applyAlignment="1">
      <alignment horizontal="center" vertical="center" wrapText="1"/>
    </xf>
    <xf numFmtId="0" fontId="7" fillId="0" borderId="81" xfId="0" applyFont="1" applyBorder="1" applyAlignment="1">
      <alignment horizontal="center" vertical="center" wrapText="1"/>
    </xf>
    <xf numFmtId="0" fontId="30" fillId="0" borderId="6" xfId="0" applyFont="1" applyBorder="1" applyAlignment="1">
      <alignment horizontal="center" vertical="center" wrapText="1"/>
    </xf>
    <xf numFmtId="0" fontId="30" fillId="0" borderId="40" xfId="0" applyFont="1" applyBorder="1" applyAlignment="1">
      <alignment horizontal="center" vertical="center" wrapText="1"/>
    </xf>
    <xf numFmtId="0" fontId="7" fillId="0" borderId="1" xfId="0" applyFont="1" applyBorder="1" applyAlignment="1">
      <alignment horizontal="left" vertical="center" wrapText="1"/>
    </xf>
    <xf numFmtId="0" fontId="36" fillId="19" borderId="0" xfId="0" applyFont="1" applyFill="1" applyAlignment="1">
      <alignment horizontal="center" vertical="center"/>
    </xf>
    <xf numFmtId="0" fontId="7" fillId="6" borderId="51" xfId="0" applyFont="1" applyFill="1" applyBorder="1" applyAlignment="1">
      <alignment horizontal="center" vertical="center" wrapText="1"/>
    </xf>
    <xf numFmtId="0" fontId="7" fillId="6" borderId="70" xfId="0" applyFont="1" applyFill="1" applyBorder="1" applyAlignment="1">
      <alignment horizontal="center" vertical="center" wrapText="1"/>
    </xf>
    <xf numFmtId="0" fontId="7" fillId="6" borderId="83" xfId="0" applyFont="1" applyFill="1" applyBorder="1" applyAlignment="1">
      <alignment horizontal="center" vertical="center" wrapText="1"/>
    </xf>
    <xf numFmtId="0" fontId="7" fillId="0" borderId="51"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83" xfId="0" applyFont="1" applyBorder="1" applyAlignment="1">
      <alignment horizontal="center" vertical="center" wrapText="1"/>
    </xf>
    <xf numFmtId="0" fontId="7" fillId="0" borderId="18" xfId="0" applyFont="1" applyBorder="1" applyAlignment="1">
      <alignment horizontal="left" vertical="center" wrapText="1"/>
    </xf>
    <xf numFmtId="0" fontId="7" fillId="0" borderId="19" xfId="0" applyFont="1" applyBorder="1" applyAlignment="1">
      <alignment horizontal="left" vertical="center" wrapText="1"/>
    </xf>
    <xf numFmtId="0" fontId="7" fillId="0" borderId="18"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15" xfId="0" applyFont="1" applyBorder="1" applyAlignment="1">
      <alignment horizontal="center" vertical="center" wrapText="1"/>
    </xf>
    <xf numFmtId="0" fontId="35" fillId="19" borderId="49" xfId="0" applyFont="1" applyFill="1" applyBorder="1" applyAlignment="1">
      <alignment horizontal="center" vertical="center"/>
    </xf>
    <xf numFmtId="0" fontId="30" fillId="0" borderId="11" xfId="0" applyFont="1" applyBorder="1" applyAlignment="1">
      <alignment horizontal="center" vertical="center" wrapText="1"/>
    </xf>
    <xf numFmtId="0" fontId="30" fillId="0" borderId="29" xfId="0" applyFont="1" applyBorder="1" applyAlignment="1">
      <alignment horizontal="center" vertical="center" wrapText="1"/>
    </xf>
    <xf numFmtId="0" fontId="7" fillId="0" borderId="45" xfId="0" applyFont="1" applyBorder="1" applyAlignment="1">
      <alignment horizontal="center" vertical="center" wrapText="1"/>
    </xf>
    <xf numFmtId="0" fontId="5" fillId="2" borderId="1" xfId="0" applyFont="1" applyFill="1" applyBorder="1" applyAlignment="1">
      <alignment horizontal="center" vertical="center" wrapText="1"/>
    </xf>
    <xf numFmtId="0" fontId="0" fillId="0" borderId="0" xfId="0" applyAlignment="1">
      <alignment horizontal="center"/>
    </xf>
    <xf numFmtId="0" fontId="0" fillId="0" borderId="38" xfId="0" applyBorder="1" applyAlignment="1">
      <alignment horizontal="center"/>
    </xf>
    <xf numFmtId="0" fontId="7" fillId="6" borderId="1" xfId="0" applyFont="1" applyFill="1" applyBorder="1" applyAlignment="1">
      <alignment horizontal="left" vertical="center" wrapText="1"/>
    </xf>
    <xf numFmtId="0" fontId="7" fillId="0" borderId="47"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55" xfId="0" applyFont="1" applyBorder="1" applyAlignment="1">
      <alignment horizontal="left" vertical="center" wrapText="1"/>
    </xf>
    <xf numFmtId="0" fontId="7" fillId="0" borderId="56" xfId="0" applyFont="1" applyBorder="1" applyAlignment="1">
      <alignment horizontal="left" vertical="center" wrapText="1"/>
    </xf>
    <xf numFmtId="0" fontId="7" fillId="0" borderId="45" xfId="0" applyFont="1" applyBorder="1" applyAlignment="1">
      <alignment horizontal="left" vertical="center" wrapText="1"/>
    </xf>
    <xf numFmtId="0" fontId="7" fillId="6" borderId="6" xfId="0" applyFont="1" applyFill="1" applyBorder="1" applyAlignment="1">
      <alignment horizontal="left" vertical="center" wrapText="1"/>
    </xf>
    <xf numFmtId="0" fontId="7" fillId="6" borderId="7" xfId="0" applyFont="1" applyFill="1" applyBorder="1" applyAlignment="1">
      <alignment horizontal="left" vertical="center" wrapText="1"/>
    </xf>
    <xf numFmtId="0" fontId="7" fillId="6" borderId="40" xfId="0" applyFont="1" applyFill="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40" xfId="0" applyFont="1" applyBorder="1" applyAlignment="1">
      <alignment horizontal="left" vertical="center" wrapText="1"/>
    </xf>
    <xf numFmtId="0" fontId="7" fillId="0" borderId="9" xfId="0" applyFont="1" applyBorder="1" applyAlignment="1">
      <alignment horizontal="left" vertical="center" wrapText="1"/>
    </xf>
    <xf numFmtId="0" fontId="7" fillId="6" borderId="16" xfId="0" applyFont="1" applyFill="1" applyBorder="1" applyAlignment="1">
      <alignment horizontal="left" vertical="center" wrapText="1"/>
    </xf>
    <xf numFmtId="0" fontId="7" fillId="6" borderId="2" xfId="0" applyFont="1" applyFill="1" applyBorder="1" applyAlignment="1">
      <alignment horizontal="left" vertical="center" wrapText="1"/>
    </xf>
    <xf numFmtId="0" fontId="7" fillId="6" borderId="3" xfId="0" applyFont="1" applyFill="1" applyBorder="1" applyAlignment="1">
      <alignment horizontal="left" vertical="center" wrapText="1"/>
    </xf>
    <xf numFmtId="0" fontId="7" fillId="6" borderId="4" xfId="0" applyFont="1" applyFill="1" applyBorder="1" applyAlignment="1">
      <alignment horizontal="left" vertical="center" wrapText="1"/>
    </xf>
    <xf numFmtId="0" fontId="3" fillId="0" borderId="48"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46" xfId="0" applyFont="1" applyBorder="1" applyAlignment="1">
      <alignment horizontal="center" vertical="center" wrapText="1"/>
    </xf>
    <xf numFmtId="0" fontId="7" fillId="0" borderId="11" xfId="0" applyFont="1" applyBorder="1" applyAlignment="1">
      <alignment horizontal="left" vertical="center" wrapText="1"/>
    </xf>
    <xf numFmtId="0" fontId="7" fillId="0" borderId="48" xfId="0" applyFont="1" applyBorder="1" applyAlignment="1">
      <alignment horizontal="center" vertical="center"/>
    </xf>
    <xf numFmtId="0" fontId="7" fillId="0" borderId="53" xfId="0" applyFont="1" applyBorder="1" applyAlignment="1">
      <alignment horizontal="center" vertical="center"/>
    </xf>
    <xf numFmtId="0" fontId="7" fillId="0" borderId="47" xfId="0" applyFont="1" applyBorder="1" applyAlignment="1">
      <alignment horizontal="center" vertical="center"/>
    </xf>
    <xf numFmtId="0" fontId="7" fillId="0" borderId="50" xfId="0" applyFont="1" applyBorder="1" applyAlignment="1">
      <alignment horizontal="center" vertical="center"/>
    </xf>
    <xf numFmtId="0" fontId="7" fillId="0" borderId="54" xfId="0" applyFont="1" applyBorder="1" applyAlignment="1">
      <alignment horizontal="center" vertical="center"/>
    </xf>
    <xf numFmtId="0" fontId="7" fillId="0" borderId="46" xfId="0" applyFont="1" applyBorder="1" applyAlignment="1">
      <alignment horizontal="center" vertical="center"/>
    </xf>
    <xf numFmtId="0" fontId="8" fillId="0" borderId="1" xfId="0" applyFont="1" applyBorder="1" applyAlignment="1">
      <alignment horizontal="right" vertical="center"/>
    </xf>
    <xf numFmtId="0" fontId="7" fillId="0" borderId="1" xfId="0" applyFont="1" applyBorder="1" applyAlignment="1">
      <alignment horizontal="center"/>
    </xf>
    <xf numFmtId="14" fontId="7" fillId="0" borderId="1" xfId="0" applyNumberFormat="1" applyFont="1" applyBorder="1" applyAlignment="1">
      <alignment horizontal="center"/>
    </xf>
    <xf numFmtId="0" fontId="7" fillId="0" borderId="11" xfId="0" applyFont="1" applyBorder="1" applyAlignment="1">
      <alignment horizontal="center"/>
    </xf>
    <xf numFmtId="0" fontId="7" fillId="0" borderId="29" xfId="0" applyFont="1" applyBorder="1" applyAlignment="1">
      <alignment horizontal="center"/>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1"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6" borderId="11" xfId="0" applyFont="1" applyFill="1" applyBorder="1" applyAlignment="1">
      <alignment horizontal="left" vertical="center" wrapText="1"/>
    </xf>
    <xf numFmtId="0" fontId="7" fillId="0" borderId="55" xfId="0" applyFont="1" applyBorder="1" applyAlignment="1">
      <alignment horizontal="center"/>
    </xf>
    <xf numFmtId="0" fontId="7" fillId="0" borderId="12" xfId="0" applyFont="1" applyBorder="1" applyAlignment="1">
      <alignment horizontal="center"/>
    </xf>
    <xf numFmtId="0" fontId="7" fillId="0" borderId="56" xfId="0" applyFont="1" applyBorder="1" applyAlignment="1">
      <alignment horizontal="center"/>
    </xf>
    <xf numFmtId="0" fontId="7" fillId="0" borderId="45" xfId="0" applyFont="1" applyBorder="1" applyAlignment="1">
      <alignment horizontal="center"/>
    </xf>
    <xf numFmtId="0" fontId="3" fillId="0" borderId="10" xfId="0" applyFont="1" applyBorder="1" applyAlignment="1">
      <alignment horizontal="center" vertical="center" wrapText="1"/>
    </xf>
    <xf numFmtId="0" fontId="0" fillId="0" borderId="11" xfId="0" applyBorder="1" applyAlignment="1">
      <alignment vertical="center" wrapText="1"/>
    </xf>
    <xf numFmtId="0" fontId="3" fillId="0" borderId="22" xfId="0" applyFont="1" applyBorder="1" applyAlignment="1">
      <alignment horizontal="center" vertical="center" wrapText="1"/>
    </xf>
    <xf numFmtId="0" fontId="0" fillId="0" borderId="8" xfId="0" applyBorder="1" applyAlignment="1">
      <alignment vertical="center" wrapText="1"/>
    </xf>
    <xf numFmtId="0" fontId="3" fillId="0" borderId="13" xfId="0" applyFont="1" applyBorder="1" applyAlignment="1">
      <alignment horizontal="center" vertical="center" wrapText="1"/>
    </xf>
    <xf numFmtId="0" fontId="0" fillId="0" borderId="1" xfId="0" applyBorder="1" applyAlignment="1">
      <alignment vertical="center" wrapText="1"/>
    </xf>
    <xf numFmtId="0" fontId="3" fillId="0" borderId="24" xfId="0" applyFont="1" applyBorder="1" applyAlignment="1">
      <alignment horizontal="center" vertical="center" wrapText="1"/>
    </xf>
    <xf numFmtId="0" fontId="0" fillId="0" borderId="9" xfId="0" applyBorder="1" applyAlignment="1">
      <alignment vertical="center" wrapText="1"/>
    </xf>
    <xf numFmtId="0" fontId="3" fillId="0" borderId="15" xfId="0" applyFont="1" applyBorder="1" applyAlignment="1">
      <alignment horizontal="center" vertical="center" wrapText="1"/>
    </xf>
    <xf numFmtId="0" fontId="0" fillId="0" borderId="16" xfId="0" applyBorder="1" applyAlignment="1">
      <alignment vertical="center" wrapText="1"/>
    </xf>
    <xf numFmtId="0" fontId="7" fillId="9" borderId="11" xfId="0" applyFont="1" applyFill="1" applyBorder="1" applyAlignment="1">
      <alignment horizontal="left" vertical="center" wrapText="1"/>
    </xf>
    <xf numFmtId="0" fontId="7" fillId="9" borderId="6" xfId="0" applyFont="1" applyFill="1" applyBorder="1" applyAlignment="1">
      <alignment horizontal="left" vertical="center" wrapText="1"/>
    </xf>
    <xf numFmtId="0" fontId="7" fillId="9" borderId="7" xfId="0" applyFont="1" applyFill="1" applyBorder="1" applyAlignment="1">
      <alignment horizontal="left" vertical="center" wrapText="1"/>
    </xf>
    <xf numFmtId="0" fontId="7" fillId="9" borderId="40" xfId="0" applyFont="1" applyFill="1" applyBorder="1" applyAlignment="1">
      <alignment horizontal="left" vertical="center" wrapText="1"/>
    </xf>
    <xf numFmtId="0" fontId="7" fillId="6" borderId="17" xfId="0" applyFont="1" applyFill="1" applyBorder="1" applyAlignment="1">
      <alignment horizontal="left" vertical="center" wrapText="1"/>
    </xf>
    <xf numFmtId="0" fontId="7" fillId="6" borderId="43" xfId="0" applyFont="1" applyFill="1" applyBorder="1" applyAlignment="1">
      <alignment horizontal="left" vertical="center" wrapText="1"/>
    </xf>
    <xf numFmtId="0" fontId="7" fillId="6" borderId="42" xfId="0" applyFont="1" applyFill="1" applyBorder="1" applyAlignment="1">
      <alignment horizontal="left" vertical="center" wrapText="1"/>
    </xf>
    <xf numFmtId="0" fontId="7" fillId="0" borderId="17" xfId="0" applyFont="1" applyBorder="1" applyAlignment="1">
      <alignment horizontal="left" vertical="center" wrapText="1"/>
    </xf>
    <xf numFmtId="0" fontId="7" fillId="0" borderId="43" xfId="0" applyFont="1" applyBorder="1" applyAlignment="1">
      <alignment horizontal="left" vertical="center" wrapText="1"/>
    </xf>
    <xf numFmtId="0" fontId="7" fillId="0" borderId="42" xfId="0" applyFont="1" applyBorder="1" applyAlignment="1">
      <alignment horizontal="left" vertical="center" wrapText="1"/>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40" fillId="19" borderId="0" xfId="0" applyFont="1" applyFill="1" applyAlignment="1">
      <alignment horizontal="center" vertical="center"/>
    </xf>
    <xf numFmtId="0" fontId="40" fillId="16" borderId="0" xfId="4" applyFont="1" applyFill="1" applyAlignment="1" applyProtection="1">
      <alignment horizontal="center" vertical="center" wrapText="1"/>
      <protection locked="0"/>
    </xf>
    <xf numFmtId="0" fontId="41" fillId="16" borderId="0" xfId="4" applyFont="1" applyFill="1" applyAlignment="1" applyProtection="1">
      <alignment horizontal="center" vertical="center" wrapText="1"/>
      <protection locked="0"/>
    </xf>
    <xf numFmtId="0" fontId="35" fillId="19" borderId="0" xfId="0" applyFont="1" applyFill="1" applyAlignment="1">
      <alignment horizontal="center" vertical="center" wrapText="1"/>
    </xf>
    <xf numFmtId="0" fontId="13" fillId="4" borderId="1" xfId="0" applyFont="1" applyFill="1" applyBorder="1" applyAlignment="1" applyProtection="1">
      <alignment horizontal="center" vertical="center" wrapText="1"/>
      <protection locked="0"/>
    </xf>
    <xf numFmtId="14" fontId="13" fillId="4" borderId="1" xfId="0" applyNumberFormat="1" applyFont="1" applyFill="1" applyBorder="1" applyAlignment="1" applyProtection="1">
      <alignment horizontal="center" vertical="center" wrapText="1"/>
      <protection locked="0"/>
    </xf>
    <xf numFmtId="0" fontId="15" fillId="2" borderId="97" xfId="0" applyFont="1" applyFill="1" applyBorder="1" applyAlignment="1">
      <alignment horizontal="center" vertical="center" wrapText="1"/>
    </xf>
    <xf numFmtId="0" fontId="12" fillId="9" borderId="34" xfId="0" applyFont="1" applyFill="1" applyBorder="1" applyAlignment="1">
      <alignment horizontal="left" vertical="center" wrapText="1"/>
    </xf>
    <xf numFmtId="0" fontId="0" fillId="0" borderId="33" xfId="0" applyBorder="1" applyAlignment="1">
      <alignment horizontal="left" vertical="center" wrapText="1"/>
    </xf>
    <xf numFmtId="0" fontId="0" fillId="9" borderId="0" xfId="0" applyFill="1"/>
    <xf numFmtId="0" fontId="0" fillId="9" borderId="34" xfId="0" applyFill="1" applyBorder="1" applyAlignment="1">
      <alignment horizontal="center"/>
    </xf>
    <xf numFmtId="0" fontId="45" fillId="0" borderId="0" xfId="0" applyFont="1" applyAlignment="1">
      <alignment vertical="center"/>
    </xf>
    <xf numFmtId="0" fontId="33" fillId="6" borderId="14" xfId="0" applyFont="1" applyFill="1" applyBorder="1" applyAlignment="1" applyProtection="1">
      <alignment horizontal="left" vertical="center" wrapText="1"/>
    </xf>
    <xf numFmtId="0" fontId="7" fillId="6" borderId="13" xfId="0" applyFont="1" applyFill="1" applyBorder="1" applyAlignment="1" applyProtection="1">
      <alignment horizontal="center" vertical="center" wrapText="1"/>
    </xf>
    <xf numFmtId="0" fontId="7" fillId="6" borderId="1" xfId="0" applyFont="1" applyFill="1" applyBorder="1" applyAlignment="1" applyProtection="1">
      <alignment horizontal="center" vertical="center" wrapText="1"/>
    </xf>
    <xf numFmtId="0" fontId="7" fillId="6" borderId="21" xfId="0" applyFont="1" applyFill="1" applyBorder="1" applyAlignment="1" applyProtection="1">
      <alignment horizontal="center" vertical="center" wrapText="1"/>
    </xf>
    <xf numFmtId="9" fontId="7" fillId="6" borderId="13" xfId="0" applyNumberFormat="1" applyFont="1" applyFill="1" applyBorder="1" applyAlignment="1" applyProtection="1">
      <alignment horizontal="center" vertical="center" wrapText="1"/>
    </xf>
    <xf numFmtId="9" fontId="7" fillId="6" borderId="1" xfId="0" applyNumberFormat="1" applyFont="1" applyFill="1" applyBorder="1" applyAlignment="1" applyProtection="1">
      <alignment horizontal="center" vertical="center" wrapText="1"/>
    </xf>
    <xf numFmtId="9" fontId="7" fillId="6" borderId="21" xfId="0" applyNumberFormat="1" applyFont="1" applyFill="1" applyBorder="1" applyAlignment="1" applyProtection="1">
      <alignment horizontal="center" vertical="center" wrapText="1"/>
    </xf>
    <xf numFmtId="0" fontId="13" fillId="9" borderId="6" xfId="0" applyFont="1" applyFill="1" applyBorder="1" applyAlignment="1" applyProtection="1">
      <alignment horizontal="left" vertical="center" wrapText="1"/>
    </xf>
    <xf numFmtId="0" fontId="17" fillId="9" borderId="0" xfId="0" applyFont="1" applyFill="1" applyProtection="1"/>
    <xf numFmtId="0" fontId="12" fillId="9" borderId="73" xfId="0" applyFont="1" applyFill="1" applyBorder="1" applyAlignment="1" applyProtection="1">
      <alignment horizontal="left" vertical="center" wrapText="1"/>
    </xf>
    <xf numFmtId="0" fontId="21" fillId="2" borderId="96" xfId="0" applyFont="1" applyFill="1" applyBorder="1" applyAlignment="1" applyProtection="1">
      <alignment horizontal="center" vertical="center" wrapText="1"/>
    </xf>
    <xf numFmtId="0" fontId="13" fillId="9" borderId="73" xfId="0" applyFont="1" applyFill="1" applyBorder="1" applyAlignment="1" applyProtection="1">
      <alignment horizontal="center" vertical="center" wrapText="1"/>
    </xf>
    <xf numFmtId="0" fontId="12" fillId="9" borderId="73" xfId="0" applyFont="1" applyFill="1" applyBorder="1" applyAlignment="1" applyProtection="1">
      <alignment horizontal="center" vertical="center" wrapText="1"/>
    </xf>
    <xf numFmtId="1" fontId="25" fillId="9" borderId="73" xfId="0" applyNumberFormat="1" applyFont="1" applyFill="1" applyBorder="1" applyAlignment="1" applyProtection="1">
      <alignment horizontal="center" vertical="center" wrapText="1"/>
    </xf>
    <xf numFmtId="1" fontId="17" fillId="9" borderId="0" xfId="0" applyNumberFormat="1" applyFont="1" applyFill="1" applyAlignment="1" applyProtection="1">
      <alignment horizontal="center"/>
    </xf>
    <xf numFmtId="0" fontId="26" fillId="0" borderId="0" xfId="0" applyFont="1" applyProtection="1"/>
    <xf numFmtId="0" fontId="17" fillId="0" borderId="5" xfId="0" applyFont="1" applyBorder="1" applyAlignment="1" applyProtection="1">
      <alignment horizontal="left" vertical="center" wrapText="1"/>
    </xf>
    <xf numFmtId="0" fontId="22" fillId="0" borderId="5" xfId="0" applyFont="1" applyBorder="1" applyAlignment="1" applyProtection="1">
      <alignment horizontal="center" vertical="center" wrapText="1"/>
    </xf>
    <xf numFmtId="0" fontId="17" fillId="0" borderId="5" xfId="0" applyFont="1" applyBorder="1" applyAlignment="1" applyProtection="1">
      <alignment horizontal="center" vertical="center" wrapText="1"/>
    </xf>
    <xf numFmtId="0" fontId="12" fillId="0" borderId="28" xfId="0" applyFont="1" applyBorder="1" applyAlignment="1" applyProtection="1">
      <alignment horizontal="center" vertical="center" wrapText="1"/>
    </xf>
    <xf numFmtId="0" fontId="12" fillId="0" borderId="65" xfId="0" applyFont="1" applyBorder="1" applyAlignment="1" applyProtection="1">
      <alignment horizontal="center" vertical="center" wrapText="1"/>
    </xf>
    <xf numFmtId="0" fontId="17" fillId="0" borderId="34" xfId="0" applyFont="1" applyBorder="1" applyAlignment="1" applyProtection="1">
      <alignment horizontal="center" vertical="center" wrapText="1"/>
    </xf>
    <xf numFmtId="0" fontId="17" fillId="0" borderId="0" xfId="0" applyFont="1" applyAlignment="1" applyProtection="1">
      <alignment horizontal="left" vertical="center" wrapText="1"/>
    </xf>
    <xf numFmtId="0" fontId="17" fillId="0" borderId="0" xfId="0" applyFont="1" applyAlignment="1" applyProtection="1">
      <alignment horizontal="center" vertical="center" wrapText="1"/>
    </xf>
    <xf numFmtId="0" fontId="12" fillId="0" borderId="41" xfId="0" applyFont="1" applyBorder="1" applyAlignment="1" applyProtection="1">
      <alignment horizontal="center" vertical="center" wrapText="1"/>
    </xf>
    <xf numFmtId="0" fontId="16" fillId="12" borderId="66" xfId="0" applyFont="1" applyFill="1" applyBorder="1" applyAlignment="1" applyProtection="1">
      <alignment horizontal="left" vertical="center" wrapText="1"/>
    </xf>
    <xf numFmtId="0" fontId="16" fillId="12" borderId="67" xfId="0" applyFont="1" applyFill="1" applyBorder="1" applyAlignment="1" applyProtection="1">
      <alignment horizontal="left" vertical="center" wrapText="1"/>
    </xf>
    <xf numFmtId="0" fontId="20" fillId="0" borderId="34" xfId="0" applyFont="1" applyBorder="1" applyAlignment="1" applyProtection="1">
      <alignment horizontal="center" vertical="center" wrapText="1"/>
    </xf>
    <xf numFmtId="0" fontId="16" fillId="12" borderId="66" xfId="0" applyFont="1" applyFill="1" applyBorder="1" applyAlignment="1" applyProtection="1">
      <alignment horizontal="right" vertical="center" wrapText="1"/>
    </xf>
    <xf numFmtId="0" fontId="16" fillId="12" borderId="67" xfId="0" applyFont="1" applyFill="1" applyBorder="1" applyAlignment="1" applyProtection="1">
      <alignment horizontal="right" vertical="center" wrapText="1"/>
    </xf>
    <xf numFmtId="0" fontId="21" fillId="11" borderId="57" xfId="0" applyFont="1" applyFill="1" applyBorder="1" applyAlignment="1" applyProtection="1">
      <alignment horizontal="left" vertical="center" wrapText="1"/>
    </xf>
    <xf numFmtId="0" fontId="21" fillId="11" borderId="58" xfId="0" applyFont="1" applyFill="1" applyBorder="1" applyAlignment="1" applyProtection="1">
      <alignment horizontal="left" vertical="center" wrapText="1"/>
    </xf>
    <xf numFmtId="0" fontId="21" fillId="11" borderId="59" xfId="0" applyFont="1" applyFill="1" applyBorder="1" applyAlignment="1" applyProtection="1">
      <alignment horizontal="left" vertical="center" wrapText="1"/>
    </xf>
    <xf numFmtId="0" fontId="16" fillId="0" borderId="60" xfId="0" applyFont="1" applyBorder="1" applyAlignment="1" applyProtection="1">
      <alignment horizontal="left" vertical="center" wrapText="1"/>
    </xf>
    <xf numFmtId="0" fontId="12" fillId="0" borderId="61" xfId="0" applyFont="1" applyBorder="1" applyAlignment="1" applyProtection="1">
      <alignment horizontal="center" vertical="center" wrapText="1"/>
    </xf>
    <xf numFmtId="0" fontId="16" fillId="5" borderId="60" xfId="0" applyFont="1" applyFill="1" applyBorder="1" applyAlignment="1" applyProtection="1">
      <alignment horizontal="left" vertical="center" wrapText="1"/>
    </xf>
    <xf numFmtId="0" fontId="16" fillId="5" borderId="62" xfId="0" applyFont="1" applyFill="1" applyBorder="1" applyAlignment="1" applyProtection="1">
      <alignment horizontal="right" vertical="center" wrapText="1"/>
    </xf>
    <xf numFmtId="0" fontId="16" fillId="0" borderId="57" xfId="0" applyFont="1" applyBorder="1" applyAlignment="1" applyProtection="1">
      <alignment horizontal="left" vertical="center" wrapText="1"/>
    </xf>
    <xf numFmtId="0" fontId="16" fillId="5" borderId="60" xfId="0" applyFont="1" applyFill="1" applyBorder="1" applyAlignment="1" applyProtection="1">
      <alignment horizontal="right" vertical="center" wrapText="1"/>
    </xf>
    <xf numFmtId="0" fontId="16" fillId="9" borderId="60" xfId="0" applyFont="1" applyFill="1" applyBorder="1" applyAlignment="1" applyProtection="1">
      <alignment horizontal="left" vertical="center" wrapText="1"/>
    </xf>
    <xf numFmtId="0" fontId="39" fillId="9" borderId="60" xfId="0" applyFont="1" applyFill="1" applyBorder="1" applyAlignment="1" applyProtection="1">
      <alignment horizontal="left" vertical="center" wrapText="1"/>
    </xf>
    <xf numFmtId="1" fontId="12" fillId="15" borderId="61" xfId="0" applyNumberFormat="1" applyFont="1" applyFill="1" applyBorder="1" applyAlignment="1" applyProtection="1">
      <alignment horizontal="center" vertical="center" wrapText="1"/>
    </xf>
    <xf numFmtId="0" fontId="16" fillId="9" borderId="60" xfId="0" applyFont="1" applyFill="1" applyBorder="1" applyAlignment="1" applyProtection="1">
      <alignment horizontal="left" vertical="center" wrapText="1" indent="2"/>
    </xf>
    <xf numFmtId="0" fontId="0" fillId="0" borderId="0" xfId="0" applyProtection="1"/>
    <xf numFmtId="0" fontId="16" fillId="9" borderId="60" xfId="0" applyFont="1" applyFill="1" applyBorder="1" applyAlignment="1" applyProtection="1">
      <alignment horizontal="left" vertical="center" wrapText="1" indent="6"/>
    </xf>
    <xf numFmtId="0" fontId="24" fillId="0" borderId="34" xfId="0" applyFont="1" applyBorder="1" applyAlignment="1" applyProtection="1">
      <alignment horizontal="center" vertical="center" wrapText="1"/>
    </xf>
    <xf numFmtId="0" fontId="24" fillId="0" borderId="5" xfId="0" applyFont="1" applyBorder="1" applyAlignment="1" applyProtection="1">
      <alignment horizontal="center" vertical="center" wrapText="1"/>
    </xf>
    <xf numFmtId="0" fontId="39" fillId="5" borderId="60" xfId="0" applyFont="1" applyFill="1" applyBorder="1" applyAlignment="1" applyProtection="1">
      <alignment horizontal="left" vertical="center" wrapText="1" indent="2"/>
    </xf>
    <xf numFmtId="0" fontId="16" fillId="5" borderId="60" xfId="0" applyFont="1" applyFill="1" applyBorder="1" applyAlignment="1" applyProtection="1">
      <alignment horizontal="left" vertical="center" wrapText="1" indent="2"/>
    </xf>
    <xf numFmtId="0" fontId="16" fillId="5" borderId="60" xfId="0" applyFont="1" applyFill="1" applyBorder="1" applyAlignment="1" applyProtection="1">
      <alignment horizontal="right" vertical="center" wrapText="1" indent="2"/>
    </xf>
    <xf numFmtId="0" fontId="38" fillId="5" borderId="60" xfId="0" applyFont="1" applyFill="1" applyBorder="1" applyAlignment="1" applyProtection="1">
      <alignment horizontal="left" vertical="center" wrapText="1"/>
    </xf>
    <xf numFmtId="0" fontId="3" fillId="5" borderId="60" xfId="0" applyFont="1" applyFill="1" applyBorder="1" applyAlignment="1" applyProtection="1">
      <alignment horizontal="left" vertical="center" wrapText="1" indent="2"/>
    </xf>
    <xf numFmtId="0" fontId="3" fillId="9" borderId="60" xfId="0" applyFont="1" applyFill="1" applyBorder="1" applyAlignment="1" applyProtection="1">
      <alignment horizontal="left" vertical="center" wrapText="1" indent="2"/>
    </xf>
    <xf numFmtId="0" fontId="12" fillId="0" borderId="64" xfId="0" applyFont="1" applyBorder="1" applyAlignment="1" applyProtection="1">
      <alignment horizontal="center" vertical="center" wrapText="1"/>
    </xf>
    <xf numFmtId="0" fontId="12" fillId="0" borderId="57" xfId="0" applyFont="1" applyBorder="1" applyAlignment="1" applyProtection="1">
      <alignment horizontal="left" vertical="center" wrapText="1"/>
    </xf>
    <xf numFmtId="0" fontId="12" fillId="0" borderId="60" xfId="0" applyFont="1" applyBorder="1" applyAlignment="1" applyProtection="1">
      <alignment horizontal="left" vertical="center" wrapText="1"/>
    </xf>
    <xf numFmtId="0" fontId="16" fillId="9" borderId="60" xfId="0" applyFont="1" applyFill="1" applyBorder="1" applyAlignment="1" applyProtection="1">
      <alignment horizontal="right" vertical="center" wrapText="1"/>
    </xf>
    <xf numFmtId="0" fontId="12" fillId="0" borderId="62" xfId="0" applyFont="1" applyBorder="1" applyAlignment="1" applyProtection="1">
      <alignment horizontal="left" vertical="center" wrapText="1"/>
    </xf>
    <xf numFmtId="0" fontId="21" fillId="14" borderId="50" xfId="0" applyFont="1" applyFill="1" applyBorder="1" applyAlignment="1" applyProtection="1">
      <alignment horizontal="left" vertical="center" wrapText="1"/>
    </xf>
    <xf numFmtId="0" fontId="12" fillId="0" borderId="77" xfId="0" applyFont="1" applyBorder="1" applyAlignment="1" applyProtection="1">
      <alignment horizontal="left" vertical="center" wrapText="1"/>
    </xf>
    <xf numFmtId="0" fontId="16" fillId="5" borderId="53" xfId="0" applyFont="1" applyFill="1" applyBorder="1" applyAlignment="1" applyProtection="1">
      <alignment horizontal="left" vertical="center" wrapText="1"/>
    </xf>
    <xf numFmtId="0" fontId="17" fillId="0" borderId="76" xfId="0" applyFont="1" applyBorder="1" applyAlignment="1" applyProtection="1">
      <alignment horizontal="center" vertical="center" wrapText="1"/>
    </xf>
    <xf numFmtId="0" fontId="16" fillId="0" borderId="0" xfId="0" applyFont="1" applyAlignment="1" applyProtection="1">
      <alignment horizontal="left" vertical="center" wrapText="1"/>
    </xf>
    <xf numFmtId="0" fontId="16" fillId="5" borderId="0" xfId="0" applyFont="1" applyFill="1" applyAlignment="1" applyProtection="1">
      <alignment horizontal="left" vertical="center" wrapText="1"/>
    </xf>
    <xf numFmtId="0" fontId="16" fillId="5" borderId="54" xfId="0" applyFont="1" applyFill="1" applyBorder="1" applyAlignment="1" applyProtection="1">
      <alignment horizontal="left" vertical="center" wrapText="1"/>
    </xf>
    <xf numFmtId="0" fontId="16" fillId="0" borderId="53" xfId="0" applyFont="1" applyBorder="1" applyAlignment="1" applyProtection="1">
      <alignment horizontal="left" vertical="center" wrapText="1"/>
    </xf>
    <xf numFmtId="0" fontId="3" fillId="0" borderId="0" xfId="0" applyFont="1" applyAlignment="1" applyProtection="1">
      <alignment horizontal="left" vertical="center" wrapText="1"/>
    </xf>
    <xf numFmtId="0" fontId="3" fillId="5" borderId="0" xfId="0" applyFont="1" applyFill="1" applyAlignment="1" applyProtection="1">
      <alignment horizontal="left" vertical="center" wrapText="1"/>
    </xf>
    <xf numFmtId="0" fontId="16" fillId="0" borderId="54" xfId="0" applyFont="1" applyBorder="1" applyAlignment="1" applyProtection="1">
      <alignment horizontal="left" vertical="center" wrapText="1"/>
    </xf>
    <xf numFmtId="0" fontId="16" fillId="5" borderId="48" xfId="0" applyFont="1" applyFill="1" applyBorder="1" applyAlignment="1" applyProtection="1">
      <alignment horizontal="left" vertical="center" wrapText="1"/>
    </xf>
    <xf numFmtId="0" fontId="16" fillId="0" borderId="49" xfId="0" applyFont="1" applyBorder="1" applyAlignment="1" applyProtection="1">
      <alignment horizontal="left" vertical="center" wrapText="1"/>
    </xf>
    <xf numFmtId="0" fontId="16" fillId="0" borderId="51" xfId="0" applyFont="1" applyBorder="1" applyAlignment="1" applyProtection="1">
      <alignment horizontal="left" vertical="center" wrapText="1"/>
    </xf>
    <xf numFmtId="0" fontId="16" fillId="5" borderId="70" xfId="0" applyFont="1" applyFill="1" applyBorder="1" applyAlignment="1" applyProtection="1">
      <alignment horizontal="left" vertical="center" wrapText="1"/>
    </xf>
    <xf numFmtId="0" fontId="16" fillId="0" borderId="70" xfId="0" applyFont="1" applyBorder="1" applyAlignment="1" applyProtection="1">
      <alignment horizontal="left" vertical="center" wrapText="1"/>
    </xf>
    <xf numFmtId="0" fontId="16" fillId="5" borderId="83" xfId="0" applyFont="1" applyFill="1" applyBorder="1" applyAlignment="1" applyProtection="1">
      <alignment horizontal="left" vertical="center" wrapText="1"/>
    </xf>
    <xf numFmtId="0" fontId="17" fillId="0" borderId="38" xfId="0" applyFont="1" applyBorder="1" applyAlignment="1" applyProtection="1">
      <alignment horizontal="center" vertical="center" wrapText="1"/>
    </xf>
    <xf numFmtId="0" fontId="16" fillId="0" borderId="30" xfId="0" applyFont="1" applyBorder="1" applyAlignment="1" applyProtection="1">
      <alignment horizontal="left" vertical="center" wrapText="1"/>
    </xf>
    <xf numFmtId="0" fontId="17" fillId="0" borderId="35" xfId="0" applyFont="1" applyBorder="1" applyAlignment="1" applyProtection="1">
      <alignment horizontal="center" vertical="center" wrapText="1"/>
    </xf>
    <xf numFmtId="14" fontId="30" fillId="0" borderId="1" xfId="0" applyNumberFormat="1" applyFont="1" applyBorder="1" applyAlignment="1">
      <alignment horizontal="center" vertical="center" wrapText="1"/>
    </xf>
    <xf numFmtId="0" fontId="46" fillId="12" borderId="66" xfId="0" applyFont="1" applyFill="1" applyBorder="1" applyAlignment="1" applyProtection="1">
      <alignment horizontal="left" vertical="center" wrapText="1"/>
    </xf>
    <xf numFmtId="0" fontId="46" fillId="12" borderId="67" xfId="0" applyFont="1" applyFill="1" applyBorder="1" applyAlignment="1" applyProtection="1">
      <alignment horizontal="left" vertical="center" wrapText="1"/>
    </xf>
    <xf numFmtId="0" fontId="47" fillId="0" borderId="34" xfId="0" applyFont="1" applyBorder="1" applyAlignment="1" applyProtection="1">
      <alignment horizontal="center" vertical="center" wrapText="1"/>
    </xf>
    <xf numFmtId="0" fontId="48" fillId="0" borderId="5" xfId="0" applyFont="1" applyBorder="1" applyAlignment="1" applyProtection="1">
      <alignment horizontal="center" vertical="center" wrapText="1"/>
    </xf>
    <xf numFmtId="0" fontId="21" fillId="2" borderId="75" xfId="0" applyFont="1" applyFill="1" applyBorder="1" applyAlignment="1" applyProtection="1">
      <alignment horizontal="left" vertical="center" wrapText="1"/>
    </xf>
    <xf numFmtId="0" fontId="21" fillId="2" borderId="0" xfId="0" applyFont="1" applyFill="1" applyAlignment="1" applyProtection="1">
      <alignment horizontal="left" vertical="center" wrapText="1"/>
    </xf>
    <xf numFmtId="0" fontId="26" fillId="0" borderId="0" xfId="0" applyFont="1" applyAlignment="1" applyProtection="1">
      <alignment horizontal="left" vertical="center"/>
    </xf>
    <xf numFmtId="0" fontId="17" fillId="9" borderId="0" xfId="0" applyFont="1" applyFill="1" applyAlignment="1" applyProtection="1">
      <alignment horizontal="left" vertical="center"/>
    </xf>
    <xf numFmtId="0" fontId="12" fillId="13" borderId="73" xfId="0" applyFont="1" applyFill="1" applyBorder="1" applyAlignment="1" applyProtection="1">
      <alignment horizontal="left" vertical="center" wrapText="1"/>
      <protection locked="0"/>
    </xf>
    <xf numFmtId="0" fontId="17" fillId="0" borderId="33" xfId="0" applyFont="1" applyBorder="1" applyAlignment="1" applyProtection="1">
      <alignment horizontal="center" vertical="center" wrapText="1"/>
    </xf>
    <xf numFmtId="0" fontId="20" fillId="14" borderId="32" xfId="0" applyFont="1" applyFill="1" applyBorder="1" applyAlignment="1" applyProtection="1">
      <alignment horizontal="center" vertical="center" wrapText="1"/>
    </xf>
    <xf numFmtId="0" fontId="20" fillId="14" borderId="34" xfId="0" applyFont="1" applyFill="1" applyBorder="1" applyAlignment="1" applyProtection="1">
      <alignment horizontal="center" vertical="center" wrapText="1"/>
    </xf>
    <xf numFmtId="0" fontId="20" fillId="14" borderId="33" xfId="0" applyFont="1" applyFill="1" applyBorder="1" applyAlignment="1" applyProtection="1">
      <alignment horizontal="center" vertical="center" wrapText="1"/>
    </xf>
    <xf numFmtId="0" fontId="20" fillId="14" borderId="98" xfId="0" applyFont="1" applyFill="1" applyBorder="1" applyAlignment="1" applyProtection="1">
      <alignment horizontal="center" vertical="center" wrapText="1"/>
    </xf>
    <xf numFmtId="0" fontId="20" fillId="14" borderId="76" xfId="0" applyFont="1" applyFill="1" applyBorder="1" applyAlignment="1" applyProtection="1">
      <alignment horizontal="center" vertical="center" wrapText="1"/>
    </xf>
    <xf numFmtId="0" fontId="20" fillId="14" borderId="99" xfId="0" applyFont="1" applyFill="1" applyBorder="1" applyAlignment="1" applyProtection="1">
      <alignment horizontal="center" vertical="center" wrapText="1"/>
    </xf>
    <xf numFmtId="0" fontId="44" fillId="0" borderId="100" xfId="0" applyFont="1" applyFill="1" applyBorder="1" applyAlignment="1" applyProtection="1">
      <alignment horizontal="center" vertical="center" wrapText="1"/>
    </xf>
    <xf numFmtId="9" fontId="44" fillId="0" borderId="100" xfId="3" applyFont="1" applyFill="1" applyBorder="1" applyAlignment="1" applyProtection="1">
      <alignment horizontal="center" vertical="center" wrapText="1"/>
    </xf>
    <xf numFmtId="1" fontId="46" fillId="9" borderId="68" xfId="0" applyNumberFormat="1" applyFont="1" applyFill="1" applyBorder="1" applyAlignment="1" applyProtection="1">
      <alignment horizontal="center" vertical="center" wrapText="1"/>
    </xf>
    <xf numFmtId="1" fontId="12" fillId="3" borderId="0" xfId="0" applyNumberFormat="1" applyFont="1" applyFill="1" applyBorder="1" applyAlignment="1" applyProtection="1">
      <alignment horizontal="center" vertical="center" wrapText="1"/>
      <protection locked="0"/>
    </xf>
    <xf numFmtId="1" fontId="12" fillId="4" borderId="0" xfId="0" applyNumberFormat="1" applyFont="1" applyFill="1" applyBorder="1" applyAlignment="1" applyProtection="1">
      <alignment horizontal="center" vertical="center" wrapText="1"/>
      <protection locked="0"/>
    </xf>
    <xf numFmtId="1" fontId="12" fillId="4" borderId="61" xfId="0" applyNumberFormat="1" applyFont="1" applyFill="1" applyBorder="1" applyAlignment="1" applyProtection="1">
      <alignment horizontal="center" vertical="center" wrapText="1"/>
      <protection locked="0"/>
    </xf>
    <xf numFmtId="0" fontId="12" fillId="0" borderId="101" xfId="0" applyFont="1" applyBorder="1" applyAlignment="1" applyProtection="1">
      <alignment horizontal="center" vertical="center" wrapText="1"/>
    </xf>
    <xf numFmtId="0" fontId="12" fillId="0" borderId="102" xfId="0" applyFont="1" applyBorder="1" applyAlignment="1" applyProtection="1">
      <alignment horizontal="center" vertical="center" wrapText="1"/>
    </xf>
    <xf numFmtId="0" fontId="12" fillId="0" borderId="103" xfId="0" applyFont="1" applyBorder="1" applyAlignment="1" applyProtection="1">
      <alignment horizontal="center" vertical="center" wrapText="1"/>
    </xf>
    <xf numFmtId="0" fontId="39" fillId="9" borderId="57" xfId="0" applyFont="1" applyFill="1" applyBorder="1" applyAlignment="1" applyProtection="1">
      <alignment horizontal="left" vertical="center" wrapText="1"/>
    </xf>
    <xf numFmtId="1" fontId="12" fillId="15" borderId="58" xfId="0" applyNumberFormat="1" applyFont="1" applyFill="1" applyBorder="1" applyAlignment="1" applyProtection="1">
      <alignment horizontal="center" vertical="center" wrapText="1"/>
    </xf>
    <xf numFmtId="1" fontId="12" fillId="15" borderId="59" xfId="0" applyNumberFormat="1" applyFont="1" applyFill="1" applyBorder="1" applyAlignment="1" applyProtection="1">
      <alignment horizontal="center" vertical="center" wrapText="1"/>
    </xf>
    <xf numFmtId="1" fontId="12" fillId="15" borderId="0" xfId="0" applyNumberFormat="1" applyFont="1" applyFill="1" applyBorder="1" applyAlignment="1" applyProtection="1">
      <alignment horizontal="center" vertical="center" wrapText="1"/>
    </xf>
    <xf numFmtId="1" fontId="12" fillId="3" borderId="63" xfId="0" applyNumberFormat="1" applyFont="1" applyFill="1" applyBorder="1" applyAlignment="1" applyProtection="1">
      <alignment horizontal="center" vertical="center" wrapText="1"/>
      <protection locked="0"/>
    </xf>
    <xf numFmtId="1" fontId="12" fillId="3" borderId="64" xfId="0" applyNumberFormat="1" applyFont="1" applyFill="1" applyBorder="1" applyAlignment="1" applyProtection="1">
      <alignment horizontal="center" vertical="center" wrapText="1"/>
      <protection locked="0"/>
    </xf>
    <xf numFmtId="0" fontId="16" fillId="5" borderId="57" xfId="0" applyFont="1" applyFill="1" applyBorder="1" applyAlignment="1" applyProtection="1">
      <alignment horizontal="left" vertical="center" wrapText="1"/>
    </xf>
    <xf numFmtId="0" fontId="39" fillId="5" borderId="62" xfId="0" applyFont="1" applyFill="1" applyBorder="1" applyAlignment="1" applyProtection="1">
      <alignment horizontal="left" vertical="center" wrapText="1"/>
    </xf>
    <xf numFmtId="0" fontId="16" fillId="0" borderId="62" xfId="0" applyFont="1" applyBorder="1" applyAlignment="1" applyProtection="1">
      <alignment horizontal="left" vertical="center" wrapText="1"/>
    </xf>
    <xf numFmtId="0" fontId="38" fillId="5" borderId="62" xfId="0" applyFont="1" applyFill="1" applyBorder="1" applyAlignment="1" applyProtection="1">
      <alignment horizontal="left" vertical="center" wrapText="1"/>
    </xf>
    <xf numFmtId="0" fontId="3" fillId="9" borderId="62" xfId="0" applyFont="1" applyFill="1" applyBorder="1" applyAlignment="1" applyProtection="1">
      <alignment horizontal="left" vertical="center" wrapText="1" indent="2"/>
    </xf>
    <xf numFmtId="0" fontId="21" fillId="14" borderId="54" xfId="0" applyFont="1" applyFill="1" applyBorder="1" applyAlignment="1" applyProtection="1">
      <alignment horizontal="left" vertical="center" wrapText="1"/>
    </xf>
    <xf numFmtId="0" fontId="21" fillId="14" borderId="78" xfId="0" applyFont="1" applyFill="1" applyBorder="1" applyAlignment="1" applyProtection="1">
      <alignment horizontal="left" vertical="center" wrapText="1"/>
    </xf>
    <xf numFmtId="1" fontId="12" fillId="4" borderId="59" xfId="0" applyNumberFormat="1" applyFont="1" applyFill="1" applyBorder="1" applyAlignment="1" applyProtection="1">
      <alignment horizontal="center" vertical="center" wrapText="1"/>
      <protection locked="0"/>
    </xf>
    <xf numFmtId="0" fontId="7" fillId="0" borderId="1" xfId="0" applyFont="1" applyBorder="1" applyAlignment="1" applyProtection="1">
      <alignment horizontal="left" vertical="center" wrapText="1"/>
    </xf>
    <xf numFmtId="0" fontId="7" fillId="0" borderId="1" xfId="0" applyFont="1" applyBorder="1" applyAlignment="1" applyProtection="1">
      <alignment horizontal="center" vertical="center" wrapText="1"/>
    </xf>
    <xf numFmtId="0" fontId="0" fillId="0" borderId="0" xfId="0" applyAlignment="1" applyProtection="1">
      <alignment horizontal="left" vertical="center" wrapText="1"/>
    </xf>
    <xf numFmtId="0" fontId="35" fillId="16" borderId="0" xfId="4" applyFont="1" applyFill="1" applyAlignment="1" applyProtection="1">
      <alignment horizontal="center" vertical="center" wrapText="1"/>
    </xf>
    <xf numFmtId="0" fontId="7" fillId="0" borderId="9" xfId="0" applyFont="1" applyBorder="1" applyAlignment="1" applyProtection="1">
      <alignment horizontal="center" vertical="center" wrapText="1"/>
    </xf>
    <xf numFmtId="0" fontId="7" fillId="0" borderId="1" xfId="0" applyFont="1" applyBorder="1" applyAlignment="1" applyProtection="1">
      <alignment horizontal="left" vertical="center" wrapText="1"/>
    </xf>
    <xf numFmtId="0" fontId="33" fillId="5" borderId="9" xfId="0" applyFont="1" applyFill="1" applyBorder="1" applyAlignment="1" applyProtection="1">
      <alignment horizontal="center" vertical="center" wrapText="1"/>
    </xf>
    <xf numFmtId="0" fontId="0" fillId="0" borderId="0" xfId="0" applyAlignment="1" applyProtection="1">
      <alignment wrapText="1"/>
    </xf>
    <xf numFmtId="9" fontId="7" fillId="5" borderId="1" xfId="3" applyFont="1" applyFill="1" applyBorder="1" applyAlignment="1" applyProtection="1">
      <alignment horizontal="center" vertical="center" wrapText="1"/>
    </xf>
    <xf numFmtId="0" fontId="7" fillId="0" borderId="0" xfId="0" applyFont="1" applyBorder="1" applyAlignment="1" applyProtection="1">
      <alignment horizontal="left" vertical="center" wrapText="1"/>
    </xf>
    <xf numFmtId="9" fontId="7" fillId="0" borderId="0" xfId="3" applyFont="1" applyFill="1" applyBorder="1" applyAlignment="1" applyProtection="1">
      <alignment horizontal="center" vertical="center" wrapText="1"/>
    </xf>
  </cellXfs>
  <cellStyles count="6">
    <cellStyle name="Normal" xfId="0" builtinId="0"/>
    <cellStyle name="Normal 10" xfId="2" xr:uid="{00000000-0005-0000-0000-000001000000}"/>
    <cellStyle name="Normal 2" xfId="1" xr:uid="{00000000-0005-0000-0000-000002000000}"/>
    <cellStyle name="Normal 3" xfId="4" xr:uid="{C558D4E2-6BCE-41B0-B64E-2AFE07B6375D}"/>
    <cellStyle name="Pourcentage" xfId="3" builtinId="5"/>
    <cellStyle name="Pourcentage 2" xfId="5" xr:uid="{6FFFE583-F979-4579-836A-CF9366EF53E5}"/>
  </cellStyles>
  <dxfs count="18">
    <dxf>
      <font>
        <color theme="0"/>
      </font>
      <fill>
        <patternFill>
          <bgColor rgb="FF00B050"/>
        </patternFill>
      </fill>
    </dxf>
    <dxf>
      <fill>
        <patternFill>
          <bgColor rgb="FFFFC000"/>
        </patternFill>
      </fill>
    </dxf>
    <dxf>
      <fill>
        <patternFill>
          <bgColor rgb="FFFFC000"/>
        </patternFill>
      </fill>
    </dxf>
    <dxf>
      <font>
        <color theme="0"/>
      </font>
      <fill>
        <patternFill>
          <bgColor rgb="FFFF0000"/>
        </patternFill>
      </fill>
    </dxf>
    <dxf>
      <font>
        <color theme="0"/>
      </font>
      <fill>
        <patternFill>
          <bgColor rgb="FF00B050"/>
        </patternFill>
      </fill>
    </dxf>
    <dxf>
      <fill>
        <patternFill>
          <bgColor rgb="FFFFC000"/>
        </patternFill>
      </fill>
    </dxf>
    <dxf>
      <fill>
        <patternFill>
          <bgColor rgb="FFFFC000"/>
        </patternFill>
      </fill>
    </dxf>
    <dxf>
      <font>
        <color theme="0"/>
      </font>
      <fill>
        <patternFill>
          <bgColor rgb="FFFF0000"/>
        </patternFill>
      </fill>
    </dxf>
    <dxf>
      <font>
        <color theme="0"/>
      </font>
      <fill>
        <patternFill>
          <bgColor rgb="FF00B050"/>
        </patternFill>
      </fill>
    </dxf>
    <dxf>
      <fill>
        <patternFill>
          <bgColor rgb="FFFFC000"/>
        </patternFill>
      </fill>
    </dxf>
    <dxf>
      <fill>
        <patternFill>
          <bgColor rgb="FFFFC000"/>
        </patternFill>
      </fill>
    </dxf>
    <dxf>
      <font>
        <color theme="0"/>
      </font>
      <fill>
        <patternFill>
          <bgColor rgb="FFFF0000"/>
        </patternFill>
      </fill>
    </dxf>
    <dxf>
      <font>
        <color rgb="FFC00000"/>
      </font>
    </dxf>
    <dxf>
      <font>
        <color rgb="FFC00000"/>
      </font>
    </dxf>
    <dxf>
      <font>
        <color rgb="FFC00000"/>
      </font>
    </dxf>
    <dxf>
      <font>
        <color rgb="FFC00000"/>
      </font>
    </dxf>
    <dxf>
      <font>
        <color rgb="FFC00000"/>
      </font>
    </dxf>
    <dxf>
      <numFmt numFmtId="2" formatCode="0.00"/>
    </dxf>
  </dxfs>
  <tableStyles count="0" defaultTableStyle="TableStyleMedium2" defaultPivotStyle="PivotStyleLight16"/>
  <colors>
    <mruColors>
      <color rgb="FF00BF63"/>
      <color rgb="FF38B6FF"/>
      <color rgb="FF0049AE"/>
      <color rgb="FFFFCC99"/>
      <color rgb="FFD6EBBB"/>
      <color rgb="FFD2E7FE"/>
      <color rgb="FFE6F1FE"/>
      <color rgb="FFFF00FF"/>
      <color rgb="FF004AAD"/>
      <color rgb="FF8DC6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9.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11/relationships/chartColorStyle" Target="colors3.xml"/><Relationship Id="rId1" Type="http://schemas.microsoft.com/office/2011/relationships/chartStyle" Target="style3.xml"/><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s>
</file>

<file path=xl/charts/_rels/chart30.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1.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27649048990267677"/>
          <c:y val="8.1249765801434351E-2"/>
          <c:w val="0.6892995579643193"/>
          <c:h val="0.872321796597746"/>
        </c:manualLayout>
      </c:layout>
      <c:pie3DChart>
        <c:varyColors val="1"/>
        <c:ser>
          <c:idx val="0"/>
          <c:order val="0"/>
          <c:tx>
            <c:strRef>
              <c:f>'Données patients'!$A$202</c:f>
              <c:strCache>
                <c:ptCount val="1"/>
                <c:pt idx="0">
                  <c:v>Document en possession du patient le jour de l'enquête</c:v>
                </c:pt>
              </c:strCache>
            </c:strRef>
          </c:tx>
          <c:dPt>
            <c:idx val="0"/>
            <c:bubble3D val="0"/>
            <c:spPr>
              <a:solidFill>
                <a:schemeClr val="accent3">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5-A48D-4B68-A7A0-6BA6C38AEBE0}"/>
              </c:ext>
            </c:extLst>
          </c:dPt>
          <c:dPt>
            <c:idx val="1"/>
            <c:bubble3D val="0"/>
            <c:spPr>
              <a:solidFill>
                <a:schemeClr val="accent4">
                  <a:lumMod val="40000"/>
                  <a:lumOff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3-A48D-4B68-A7A0-6BA6C38AEBE0}"/>
              </c:ext>
            </c:extLst>
          </c:dPt>
          <c:dPt>
            <c:idx val="2"/>
            <c:bubble3D val="0"/>
            <c:spPr>
              <a:solidFill>
                <a:schemeClr val="accent2">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4-A48D-4B68-A7A0-6BA6C38AEBE0}"/>
              </c:ext>
            </c:extLst>
          </c:dPt>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fr-FR"/>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'Données patients'!$C$201:$E$201</c:f>
              <c:strCache>
                <c:ptCount val="3"/>
                <c:pt idx="0">
                  <c:v>OUI</c:v>
                </c:pt>
                <c:pt idx="1">
                  <c:v>NON</c:v>
                </c:pt>
                <c:pt idx="2">
                  <c:v>Jamais reçue</c:v>
                </c:pt>
              </c:strCache>
            </c:strRef>
          </c:cat>
          <c:val>
            <c:numRef>
              <c:f>'Données patients'!$C$202:$E$202</c:f>
              <c:numCache>
                <c:formatCode>General</c:formatCode>
                <c:ptCount val="3"/>
                <c:pt idx="0">
                  <c:v>8</c:v>
                </c:pt>
                <c:pt idx="1">
                  <c:v>15</c:v>
                </c:pt>
                <c:pt idx="2">
                  <c:v>7</c:v>
                </c:pt>
              </c:numCache>
            </c:numRef>
          </c:val>
          <c:extLst>
            <c:ext xmlns:c16="http://schemas.microsoft.com/office/drawing/2014/chart" uri="{C3380CC4-5D6E-409C-BE32-E72D297353CC}">
              <c16:uniqueId val="{00000000-A48D-4B68-A7A0-6BA6C38AEBE0}"/>
            </c:ext>
          </c:extLst>
        </c:ser>
        <c:dLbls>
          <c:dLblPos val="ctr"/>
          <c:showLegendKey val="0"/>
          <c:showVal val="0"/>
          <c:showCatName val="1"/>
          <c:showSerName val="0"/>
          <c:showPercent val="0"/>
          <c:showBubbleSize val="0"/>
          <c:showLeaderLines val="0"/>
        </c:dLbls>
      </c:pie3D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'Données patients'!$C$63</c:f>
              <c:strCache>
                <c:ptCount val="1"/>
                <c:pt idx="0">
                  <c:v>Femme</c:v>
                </c:pt>
              </c:strCache>
            </c:strRef>
          </c:tx>
          <c:spPr>
            <a:solidFill>
              <a:srgbClr val="FF00FF"/>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patients'!$B$64:$B$68</c:f>
              <c:strCache>
                <c:ptCount val="5"/>
                <c:pt idx="0">
                  <c:v>[0 - 1 mois[</c:v>
                </c:pt>
                <c:pt idx="1">
                  <c:v>[1 - 3 mois[</c:v>
                </c:pt>
                <c:pt idx="2">
                  <c:v>[3 - 6 mois[</c:v>
                </c:pt>
                <c:pt idx="3">
                  <c:v>[6 mois - 1 an[</c:v>
                </c:pt>
                <c:pt idx="4">
                  <c:v>[1 an et plus[</c:v>
                </c:pt>
              </c:strCache>
            </c:strRef>
          </c:cat>
          <c:val>
            <c:numRef>
              <c:f>'Données patients'!$C$64:$C$68</c:f>
              <c:numCache>
                <c:formatCode>General</c:formatCode>
                <c:ptCount val="5"/>
                <c:pt idx="0">
                  <c:v>12</c:v>
                </c:pt>
                <c:pt idx="1">
                  <c:v>1</c:v>
                </c:pt>
                <c:pt idx="2">
                  <c:v>0</c:v>
                </c:pt>
                <c:pt idx="3">
                  <c:v>1</c:v>
                </c:pt>
                <c:pt idx="4">
                  <c:v>0</c:v>
                </c:pt>
              </c:numCache>
            </c:numRef>
          </c:val>
          <c:extLst>
            <c:ext xmlns:c16="http://schemas.microsoft.com/office/drawing/2014/chart" uri="{C3380CC4-5D6E-409C-BE32-E72D297353CC}">
              <c16:uniqueId val="{00000000-095A-4CAA-A920-290CADF3050B}"/>
            </c:ext>
          </c:extLst>
        </c:ser>
        <c:ser>
          <c:idx val="1"/>
          <c:order val="1"/>
          <c:tx>
            <c:strRef>
              <c:f>'Données patients'!$D$63</c:f>
              <c:strCache>
                <c:ptCount val="1"/>
                <c:pt idx="0">
                  <c:v>Homme</c:v>
                </c:pt>
              </c:strCache>
            </c:strRef>
          </c:tx>
          <c:spPr>
            <a:solidFill>
              <a:srgbClr val="004AAD"/>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patients'!$B$64:$B$68</c:f>
              <c:strCache>
                <c:ptCount val="5"/>
                <c:pt idx="0">
                  <c:v>[0 - 1 mois[</c:v>
                </c:pt>
                <c:pt idx="1">
                  <c:v>[1 - 3 mois[</c:v>
                </c:pt>
                <c:pt idx="2">
                  <c:v>[3 - 6 mois[</c:v>
                </c:pt>
                <c:pt idx="3">
                  <c:v>[6 mois - 1 an[</c:v>
                </c:pt>
                <c:pt idx="4">
                  <c:v>[1 an et plus[</c:v>
                </c:pt>
              </c:strCache>
            </c:strRef>
          </c:cat>
          <c:val>
            <c:numRef>
              <c:f>'Données patients'!$D$64:$D$68</c:f>
              <c:numCache>
                <c:formatCode>General</c:formatCode>
                <c:ptCount val="5"/>
                <c:pt idx="0">
                  <c:v>13</c:v>
                </c:pt>
                <c:pt idx="1">
                  <c:v>0</c:v>
                </c:pt>
                <c:pt idx="2">
                  <c:v>1</c:v>
                </c:pt>
                <c:pt idx="3">
                  <c:v>1</c:v>
                </c:pt>
                <c:pt idx="4">
                  <c:v>1</c:v>
                </c:pt>
              </c:numCache>
            </c:numRef>
          </c:val>
          <c:extLst>
            <c:ext xmlns:c16="http://schemas.microsoft.com/office/drawing/2014/chart" uri="{C3380CC4-5D6E-409C-BE32-E72D297353CC}">
              <c16:uniqueId val="{00000001-095A-4CAA-A920-290CADF3050B}"/>
            </c:ext>
          </c:extLst>
        </c:ser>
        <c:dLbls>
          <c:showLegendKey val="0"/>
          <c:showVal val="0"/>
          <c:showCatName val="0"/>
          <c:showSerName val="0"/>
          <c:showPercent val="0"/>
          <c:showBubbleSize val="0"/>
        </c:dLbls>
        <c:gapWidth val="219"/>
        <c:overlap val="-27"/>
        <c:axId val="604013087"/>
        <c:axId val="604015583"/>
      </c:barChart>
      <c:catAx>
        <c:axId val="604013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4015583"/>
        <c:crosses val="autoZero"/>
        <c:auto val="1"/>
        <c:lblAlgn val="ctr"/>
        <c:lblOffset val="100"/>
        <c:noMultiLvlLbl val="0"/>
      </c:catAx>
      <c:valAx>
        <c:axId val="6040155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4013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5"/>
          <c:order val="0"/>
          <c:tx>
            <c:strRef>
              <c:f>'Données patients'!$B$160</c:f>
              <c:strCache>
                <c:ptCount val="1"/>
                <c:pt idx="0">
                  <c:v>Orthopédique / Articulaire</c:v>
                </c:pt>
              </c:strCache>
            </c:strRef>
          </c:tx>
          <c:spPr>
            <a:solidFill>
              <a:schemeClr val="accent6"/>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patients'!$C$154:$D$154</c:f>
              <c:strCache>
                <c:ptCount val="2"/>
                <c:pt idx="0">
                  <c:v>Femme</c:v>
                </c:pt>
                <c:pt idx="1">
                  <c:v>Homme</c:v>
                </c:pt>
              </c:strCache>
            </c:strRef>
          </c:cat>
          <c:val>
            <c:numRef>
              <c:f>'Données patients'!$C$160:$D$160</c:f>
              <c:numCache>
                <c:formatCode>General</c:formatCode>
                <c:ptCount val="2"/>
                <c:pt idx="0">
                  <c:v>0</c:v>
                </c:pt>
                <c:pt idx="1">
                  <c:v>0</c:v>
                </c:pt>
              </c:numCache>
            </c:numRef>
          </c:val>
          <c:extLst>
            <c:ext xmlns:c16="http://schemas.microsoft.com/office/drawing/2014/chart" uri="{C3380CC4-5D6E-409C-BE32-E72D297353CC}">
              <c16:uniqueId val="{0000000A-AAA8-46AD-9E61-94DC56660E14}"/>
            </c:ext>
          </c:extLst>
        </c:ser>
        <c:ser>
          <c:idx val="4"/>
          <c:order val="1"/>
          <c:tx>
            <c:strRef>
              <c:f>'Données patients'!$B$159</c:f>
              <c:strCache>
                <c:ptCount val="1"/>
                <c:pt idx="0">
                  <c:v>Ophtalmique</c:v>
                </c:pt>
              </c:strCache>
            </c:strRef>
          </c:tx>
          <c:spPr>
            <a:solidFill>
              <a:schemeClr val="accent5"/>
            </a:solidFill>
            <a:ln>
              <a:noFill/>
            </a:ln>
            <a:effectLst/>
          </c:spPr>
          <c:invertIfNegative val="0"/>
          <c:dLbls>
            <c:numFmt formatCode="\ 0\ ;\-0\ ;;\ @"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patients'!$C$154:$D$154</c:f>
              <c:strCache>
                <c:ptCount val="2"/>
                <c:pt idx="0">
                  <c:v>Femme</c:v>
                </c:pt>
                <c:pt idx="1">
                  <c:v>Homme</c:v>
                </c:pt>
              </c:strCache>
            </c:strRef>
          </c:cat>
          <c:val>
            <c:numRef>
              <c:f>'Données patients'!$C$159:$D$159</c:f>
              <c:numCache>
                <c:formatCode>General</c:formatCode>
                <c:ptCount val="2"/>
                <c:pt idx="0">
                  <c:v>1</c:v>
                </c:pt>
                <c:pt idx="1">
                  <c:v>0</c:v>
                </c:pt>
              </c:numCache>
            </c:numRef>
          </c:val>
          <c:extLst>
            <c:ext xmlns:c16="http://schemas.microsoft.com/office/drawing/2014/chart" uri="{C3380CC4-5D6E-409C-BE32-E72D297353CC}">
              <c16:uniqueId val="{00000009-AAA8-46AD-9E61-94DC56660E14}"/>
            </c:ext>
          </c:extLst>
        </c:ser>
        <c:ser>
          <c:idx val="3"/>
          <c:order val="2"/>
          <c:tx>
            <c:strRef>
              <c:f>'Données patients'!$B$158</c:f>
              <c:strCache>
                <c:ptCount val="1"/>
                <c:pt idx="0">
                  <c:v>Mammaire</c:v>
                </c:pt>
              </c:strCache>
            </c:strRef>
          </c:tx>
          <c:spPr>
            <a:solidFill>
              <a:schemeClr val="accent4"/>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patients'!$C$154:$D$154</c:f>
              <c:strCache>
                <c:ptCount val="2"/>
                <c:pt idx="0">
                  <c:v>Femme</c:v>
                </c:pt>
                <c:pt idx="1">
                  <c:v>Homme</c:v>
                </c:pt>
              </c:strCache>
            </c:strRef>
          </c:cat>
          <c:val>
            <c:numRef>
              <c:f>'Données patients'!$C$158:$D$158</c:f>
              <c:numCache>
                <c:formatCode>General</c:formatCode>
                <c:ptCount val="2"/>
                <c:pt idx="0">
                  <c:v>0</c:v>
                </c:pt>
                <c:pt idx="1">
                  <c:v>0</c:v>
                </c:pt>
              </c:numCache>
            </c:numRef>
          </c:val>
          <c:extLst>
            <c:ext xmlns:c16="http://schemas.microsoft.com/office/drawing/2014/chart" uri="{C3380CC4-5D6E-409C-BE32-E72D297353CC}">
              <c16:uniqueId val="{00000008-AAA8-46AD-9E61-94DC56660E14}"/>
            </c:ext>
          </c:extLst>
        </c:ser>
        <c:ser>
          <c:idx val="2"/>
          <c:order val="3"/>
          <c:tx>
            <c:strRef>
              <c:f>'Données patients'!$B$157</c:f>
              <c:strCache>
                <c:ptCount val="1"/>
                <c:pt idx="0">
                  <c:v>Gynécologique / Urinaire</c:v>
                </c:pt>
              </c:strCache>
            </c:strRef>
          </c:tx>
          <c:spPr>
            <a:solidFill>
              <a:schemeClr val="accent3"/>
            </a:solidFill>
            <a:ln>
              <a:noFill/>
            </a:ln>
            <a:effectLst/>
          </c:spPr>
          <c:invertIfNegative val="0"/>
          <c:dLbls>
            <c:numFmt formatCode="\ 0\ ;\-0\ ;;\ @"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patients'!$C$154:$D$154</c:f>
              <c:strCache>
                <c:ptCount val="2"/>
                <c:pt idx="0">
                  <c:v>Femme</c:v>
                </c:pt>
                <c:pt idx="1">
                  <c:v>Homme</c:v>
                </c:pt>
              </c:strCache>
            </c:strRef>
          </c:cat>
          <c:val>
            <c:numRef>
              <c:f>'Données patients'!$C$157:$D$157</c:f>
              <c:numCache>
                <c:formatCode>General</c:formatCode>
                <c:ptCount val="2"/>
                <c:pt idx="0">
                  <c:v>0</c:v>
                </c:pt>
                <c:pt idx="1">
                  <c:v>2</c:v>
                </c:pt>
              </c:numCache>
            </c:numRef>
          </c:val>
          <c:extLst>
            <c:ext xmlns:c16="http://schemas.microsoft.com/office/drawing/2014/chart" uri="{C3380CC4-5D6E-409C-BE32-E72D297353CC}">
              <c16:uniqueId val="{00000007-AAA8-46AD-9E61-94DC56660E14}"/>
            </c:ext>
          </c:extLst>
        </c:ser>
        <c:ser>
          <c:idx val="1"/>
          <c:order val="4"/>
          <c:tx>
            <c:strRef>
              <c:f>'Données patients'!$B$156</c:f>
              <c:strCache>
                <c:ptCount val="1"/>
                <c:pt idx="0">
                  <c:v>Dentaire</c:v>
                </c:pt>
              </c:strCache>
            </c:strRef>
          </c:tx>
          <c:spPr>
            <a:solidFill>
              <a:schemeClr val="accent2"/>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patients'!$C$154:$D$154</c:f>
              <c:strCache>
                <c:ptCount val="2"/>
                <c:pt idx="0">
                  <c:v>Femme</c:v>
                </c:pt>
                <c:pt idx="1">
                  <c:v>Homme</c:v>
                </c:pt>
              </c:strCache>
            </c:strRef>
          </c:cat>
          <c:val>
            <c:numRef>
              <c:f>'Données patients'!$C$156:$D$156</c:f>
              <c:numCache>
                <c:formatCode>General</c:formatCode>
                <c:ptCount val="2"/>
                <c:pt idx="0">
                  <c:v>0</c:v>
                </c:pt>
                <c:pt idx="1">
                  <c:v>0</c:v>
                </c:pt>
              </c:numCache>
            </c:numRef>
          </c:val>
          <c:extLst>
            <c:ext xmlns:c16="http://schemas.microsoft.com/office/drawing/2014/chart" uri="{C3380CC4-5D6E-409C-BE32-E72D297353CC}">
              <c16:uniqueId val="{00000001-AAA8-46AD-9E61-94DC56660E14}"/>
            </c:ext>
          </c:extLst>
        </c:ser>
        <c:ser>
          <c:idx val="0"/>
          <c:order val="5"/>
          <c:tx>
            <c:strRef>
              <c:f>'Données patients'!$B$155</c:f>
              <c:strCache>
                <c:ptCount val="1"/>
                <c:pt idx="0">
                  <c:v>Cardiovasculaire</c:v>
                </c:pt>
              </c:strCache>
            </c:strRef>
          </c:tx>
          <c:spPr>
            <a:solidFill>
              <a:schemeClr val="accent1"/>
            </a:solidFill>
            <a:ln>
              <a:noFill/>
            </a:ln>
            <a:effectLst/>
          </c:spPr>
          <c:invertIfNegative val="0"/>
          <c:dLbls>
            <c:numFmt formatCode="\ 0\ ;\-0\ ;;\ @"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patients'!$C$154:$D$154</c:f>
              <c:strCache>
                <c:ptCount val="2"/>
                <c:pt idx="0">
                  <c:v>Femme</c:v>
                </c:pt>
                <c:pt idx="1">
                  <c:v>Homme</c:v>
                </c:pt>
              </c:strCache>
            </c:strRef>
          </c:cat>
          <c:val>
            <c:numRef>
              <c:f>'Données patients'!$C$155:$D$155</c:f>
              <c:numCache>
                <c:formatCode>General</c:formatCode>
                <c:ptCount val="2"/>
                <c:pt idx="0">
                  <c:v>2</c:v>
                </c:pt>
                <c:pt idx="1">
                  <c:v>2</c:v>
                </c:pt>
              </c:numCache>
            </c:numRef>
          </c:val>
          <c:extLst>
            <c:ext xmlns:c16="http://schemas.microsoft.com/office/drawing/2014/chart" uri="{C3380CC4-5D6E-409C-BE32-E72D297353CC}">
              <c16:uniqueId val="{00000000-AAA8-46AD-9E61-94DC56660E14}"/>
            </c:ext>
          </c:extLst>
        </c:ser>
        <c:ser>
          <c:idx val="6"/>
          <c:order val="6"/>
          <c:tx>
            <c:strRef>
              <c:f>'Données patients'!$B$161</c:f>
              <c:strCache>
                <c:ptCount val="1"/>
                <c:pt idx="0">
                  <c:v>Autres. Précisez</c:v>
                </c:pt>
              </c:strCache>
            </c:strRef>
          </c:tx>
          <c:spPr>
            <a:solidFill>
              <a:srgbClr val="004AAD"/>
            </a:solidFill>
            <a:ln>
              <a:noFill/>
            </a:ln>
            <a:effectLst/>
          </c:spPr>
          <c:invertIfNegative val="0"/>
          <c:dLbls>
            <c:numFmt formatCode="\ 0\ ;\-0\ ;;\ @"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patients'!$C$154:$D$154</c:f>
              <c:strCache>
                <c:ptCount val="2"/>
                <c:pt idx="0">
                  <c:v>Femme</c:v>
                </c:pt>
                <c:pt idx="1">
                  <c:v>Homme</c:v>
                </c:pt>
              </c:strCache>
            </c:strRef>
          </c:cat>
          <c:val>
            <c:numRef>
              <c:f>'Données patients'!$C$161:$D$161</c:f>
              <c:numCache>
                <c:formatCode>General</c:formatCode>
                <c:ptCount val="2"/>
                <c:pt idx="0">
                  <c:v>0</c:v>
                </c:pt>
                <c:pt idx="1">
                  <c:v>1</c:v>
                </c:pt>
              </c:numCache>
            </c:numRef>
          </c:val>
          <c:extLst>
            <c:ext xmlns:c16="http://schemas.microsoft.com/office/drawing/2014/chart" uri="{C3380CC4-5D6E-409C-BE32-E72D297353CC}">
              <c16:uniqueId val="{0000000B-AAA8-46AD-9E61-94DC56660E14}"/>
            </c:ext>
          </c:extLst>
        </c:ser>
        <c:dLbls>
          <c:dLblPos val="ctr"/>
          <c:showLegendKey val="0"/>
          <c:showVal val="1"/>
          <c:showCatName val="0"/>
          <c:showSerName val="0"/>
          <c:showPercent val="0"/>
          <c:showBubbleSize val="0"/>
        </c:dLbls>
        <c:gapWidth val="150"/>
        <c:overlap val="100"/>
        <c:axId val="531318271"/>
        <c:axId val="531338239"/>
      </c:barChart>
      <c:catAx>
        <c:axId val="531318271"/>
        <c:scaling>
          <c:orientation val="minMax"/>
        </c:scaling>
        <c:delete val="0"/>
        <c:axPos val="t"/>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31338239"/>
        <c:crosses val="autoZero"/>
        <c:auto val="1"/>
        <c:lblAlgn val="ctr"/>
        <c:lblOffset val="100"/>
        <c:noMultiLvlLbl val="0"/>
      </c:catAx>
      <c:valAx>
        <c:axId val="531338239"/>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3131827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'Données patients'!$C$179</c:f>
              <c:strCache>
                <c:ptCount val="1"/>
                <c:pt idx="0">
                  <c:v>OUI</c:v>
                </c:pt>
              </c:strCache>
            </c:strRef>
          </c:tx>
          <c:spPr>
            <a:solidFill>
              <a:srgbClr val="00BF63"/>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patients'!$B$180:$B$185</c:f>
              <c:strCache>
                <c:ptCount val="6"/>
                <c:pt idx="0">
                  <c:v>Carte Implant du fabricant</c:v>
                </c:pt>
                <c:pt idx="1">
                  <c:v>Document de traçabilité institutionnel</c:v>
                </c:pt>
                <c:pt idx="2">
                  <c:v>Document informatif du fabricant</c:v>
                </c:pt>
                <c:pt idx="3">
                  <c:v>Document informatif institutionnel</c:v>
                </c:pt>
                <c:pt idx="4">
                  <c:v>Lettre de liaison</c:v>
                </c:pt>
                <c:pt idx="5">
                  <c:v>Autre</c:v>
                </c:pt>
              </c:strCache>
            </c:strRef>
          </c:cat>
          <c:val>
            <c:numRef>
              <c:f>'Données patients'!$C$180:$C$185</c:f>
              <c:numCache>
                <c:formatCode>General</c:formatCode>
                <c:ptCount val="6"/>
                <c:pt idx="0">
                  <c:v>14</c:v>
                </c:pt>
                <c:pt idx="1">
                  <c:v>15</c:v>
                </c:pt>
                <c:pt idx="2">
                  <c:v>15</c:v>
                </c:pt>
                <c:pt idx="3">
                  <c:v>15</c:v>
                </c:pt>
                <c:pt idx="4">
                  <c:v>15</c:v>
                </c:pt>
                <c:pt idx="5">
                  <c:v>15</c:v>
                </c:pt>
              </c:numCache>
            </c:numRef>
          </c:val>
          <c:extLst>
            <c:ext xmlns:c16="http://schemas.microsoft.com/office/drawing/2014/chart" uri="{C3380CC4-5D6E-409C-BE32-E72D297353CC}">
              <c16:uniqueId val="{00000000-2648-4192-9C3A-0403D4E2F4AD}"/>
            </c:ext>
          </c:extLst>
        </c:ser>
        <c:ser>
          <c:idx val="1"/>
          <c:order val="1"/>
          <c:tx>
            <c:strRef>
              <c:f>'Données patients'!$D$179</c:f>
              <c:strCache>
                <c:ptCount val="1"/>
                <c:pt idx="0">
                  <c:v>NON</c:v>
                </c:pt>
              </c:strCache>
            </c:strRef>
          </c:tx>
          <c:spPr>
            <a:solidFill>
              <a:srgbClr val="FF0000"/>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patients'!$B$180:$B$185</c:f>
              <c:strCache>
                <c:ptCount val="6"/>
                <c:pt idx="0">
                  <c:v>Carte Implant du fabricant</c:v>
                </c:pt>
                <c:pt idx="1">
                  <c:v>Document de traçabilité institutionnel</c:v>
                </c:pt>
                <c:pt idx="2">
                  <c:v>Document informatif du fabricant</c:v>
                </c:pt>
                <c:pt idx="3">
                  <c:v>Document informatif institutionnel</c:v>
                </c:pt>
                <c:pt idx="4">
                  <c:v>Lettre de liaison</c:v>
                </c:pt>
                <c:pt idx="5">
                  <c:v>Autre</c:v>
                </c:pt>
              </c:strCache>
            </c:strRef>
          </c:cat>
          <c:val>
            <c:numRef>
              <c:f>'Données patients'!$D$180:$D$185</c:f>
              <c:numCache>
                <c:formatCode>General</c:formatCode>
                <c:ptCount val="6"/>
                <c:pt idx="0">
                  <c:v>16</c:v>
                </c:pt>
                <c:pt idx="1">
                  <c:v>15</c:v>
                </c:pt>
                <c:pt idx="2">
                  <c:v>15</c:v>
                </c:pt>
                <c:pt idx="3">
                  <c:v>15</c:v>
                </c:pt>
                <c:pt idx="4">
                  <c:v>15</c:v>
                </c:pt>
                <c:pt idx="5">
                  <c:v>15</c:v>
                </c:pt>
              </c:numCache>
            </c:numRef>
          </c:val>
          <c:extLst>
            <c:ext xmlns:c16="http://schemas.microsoft.com/office/drawing/2014/chart" uri="{C3380CC4-5D6E-409C-BE32-E72D297353CC}">
              <c16:uniqueId val="{00000006-5719-43ED-AAE8-AD3EDC526F5C}"/>
            </c:ext>
          </c:extLst>
        </c:ser>
        <c:dLbls>
          <c:dLblPos val="ctr"/>
          <c:showLegendKey val="0"/>
          <c:showVal val="1"/>
          <c:showCatName val="0"/>
          <c:showSerName val="0"/>
          <c:showPercent val="0"/>
          <c:showBubbleSize val="0"/>
        </c:dLbls>
        <c:gapWidth val="0"/>
        <c:overlap val="100"/>
        <c:axId val="628063583"/>
        <c:axId val="628080639"/>
      </c:barChart>
      <c:catAx>
        <c:axId val="628063583"/>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28080639"/>
        <c:crosses val="autoZero"/>
        <c:auto val="1"/>
        <c:lblAlgn val="ctr"/>
        <c:lblOffset val="100"/>
        <c:noMultiLvlLbl val="0"/>
      </c:catAx>
      <c:valAx>
        <c:axId val="628080639"/>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28063583"/>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'Données patients'!$C$164</c:f>
              <c:strCache>
                <c:ptCount val="1"/>
                <c:pt idx="0">
                  <c:v>Oui</c:v>
                </c:pt>
              </c:strCache>
            </c:strRef>
          </c:tx>
          <c:spPr>
            <a:solidFill>
              <a:srgbClr val="00B050"/>
            </a:solidFill>
            <a:ln>
              <a:solidFill>
                <a:schemeClr val="bg1"/>
              </a:solid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'Données patients'!$A$165:$B$175</c:f>
              <c:multiLvlStrCache>
                <c:ptCount val="11"/>
                <c:lvl>
                  <c:pt idx="0">
                    <c:v>Bénéfices, rôle et fonctionnement</c:v>
                  </c:pt>
                  <c:pt idx="1">
                    <c:v>Nature des matériaux</c:v>
                  </c:pt>
                  <c:pt idx="2">
                    <c:v>Durée de vie ou de pose</c:v>
                  </c:pt>
                  <c:pt idx="3">
                    <c:v>Etapes de pose</c:v>
                  </c:pt>
                  <c:pt idx="4">
                    <c:v>Suivi médical post implantation</c:v>
                  </c:pt>
                  <c:pt idx="5">
                    <c:v>Complications possibles</c:v>
                  </c:pt>
                  <c:pt idx="6">
                    <c:v>Activités professionnelles</c:v>
                  </c:pt>
                  <c:pt idx="7">
                    <c:v>Vie quotidienne / Environnement</c:v>
                  </c:pt>
                  <c:pt idx="8">
                    <c:v>Examens d'imagerie</c:v>
                  </c:pt>
                  <c:pt idx="9">
                    <c:v>Recours à certaines techniques chirurgicales</c:v>
                  </c:pt>
                  <c:pt idx="10">
                    <c:v>Le(s) contact(s) utile(s)</c:v>
                  </c:pt>
                </c:lvl>
                <c:lvl>
                  <c:pt idx="0">
                    <c:v>l'implant</c:v>
                  </c:pt>
                  <c:pt idx="5">
                    <c:v>risques, précautions et conduite à tenir</c:v>
                  </c:pt>
                </c:lvl>
              </c:multiLvlStrCache>
            </c:multiLvlStrRef>
          </c:cat>
          <c:val>
            <c:numRef>
              <c:f>'Données patients'!$C$165:$C$175</c:f>
              <c:numCache>
                <c:formatCode>0</c:formatCode>
                <c:ptCount val="11"/>
                <c:pt idx="0">
                  <c:v>8</c:v>
                </c:pt>
                <c:pt idx="1">
                  <c:v>7</c:v>
                </c:pt>
                <c:pt idx="2">
                  <c:v>7</c:v>
                </c:pt>
                <c:pt idx="3">
                  <c:v>7</c:v>
                </c:pt>
                <c:pt idx="4">
                  <c:v>8</c:v>
                </c:pt>
                <c:pt idx="5">
                  <c:v>8</c:v>
                </c:pt>
                <c:pt idx="6">
                  <c:v>8</c:v>
                </c:pt>
                <c:pt idx="7">
                  <c:v>8</c:v>
                </c:pt>
                <c:pt idx="8">
                  <c:v>8</c:v>
                </c:pt>
                <c:pt idx="9">
                  <c:v>8</c:v>
                </c:pt>
                <c:pt idx="10">
                  <c:v>8</c:v>
                </c:pt>
              </c:numCache>
            </c:numRef>
          </c:val>
          <c:extLst>
            <c:ext xmlns:c16="http://schemas.microsoft.com/office/drawing/2014/chart" uri="{C3380CC4-5D6E-409C-BE32-E72D297353CC}">
              <c16:uniqueId val="{00000000-FEF4-4B06-ABD9-9C3DC18544B3}"/>
            </c:ext>
          </c:extLst>
        </c:ser>
        <c:ser>
          <c:idx val="1"/>
          <c:order val="1"/>
          <c:tx>
            <c:strRef>
              <c:f>'Données patients'!$D$164</c:f>
              <c:strCache>
                <c:ptCount val="1"/>
                <c:pt idx="0">
                  <c:v>Plutôt oui</c:v>
                </c:pt>
              </c:strCache>
            </c:strRef>
          </c:tx>
          <c:spPr>
            <a:solidFill>
              <a:srgbClr val="FFFF00"/>
            </a:solidFill>
            <a:ln>
              <a:solidFill>
                <a:schemeClr val="bg1"/>
              </a:solid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'Données patients'!$A$165:$B$175</c:f>
              <c:multiLvlStrCache>
                <c:ptCount val="11"/>
                <c:lvl>
                  <c:pt idx="0">
                    <c:v>Bénéfices, rôle et fonctionnement</c:v>
                  </c:pt>
                  <c:pt idx="1">
                    <c:v>Nature des matériaux</c:v>
                  </c:pt>
                  <c:pt idx="2">
                    <c:v>Durée de vie ou de pose</c:v>
                  </c:pt>
                  <c:pt idx="3">
                    <c:v>Etapes de pose</c:v>
                  </c:pt>
                  <c:pt idx="4">
                    <c:v>Suivi médical post implantation</c:v>
                  </c:pt>
                  <c:pt idx="5">
                    <c:v>Complications possibles</c:v>
                  </c:pt>
                  <c:pt idx="6">
                    <c:v>Activités professionnelles</c:v>
                  </c:pt>
                  <c:pt idx="7">
                    <c:v>Vie quotidienne / Environnement</c:v>
                  </c:pt>
                  <c:pt idx="8">
                    <c:v>Examens d'imagerie</c:v>
                  </c:pt>
                  <c:pt idx="9">
                    <c:v>Recours à certaines techniques chirurgicales</c:v>
                  </c:pt>
                  <c:pt idx="10">
                    <c:v>Le(s) contact(s) utile(s)</c:v>
                  </c:pt>
                </c:lvl>
                <c:lvl>
                  <c:pt idx="0">
                    <c:v>l'implant</c:v>
                  </c:pt>
                  <c:pt idx="5">
                    <c:v>risques, précautions et conduite à tenir</c:v>
                  </c:pt>
                </c:lvl>
              </c:multiLvlStrCache>
            </c:multiLvlStrRef>
          </c:cat>
          <c:val>
            <c:numRef>
              <c:f>'Données patients'!$D$165:$D$175</c:f>
              <c:numCache>
                <c:formatCode>0</c:formatCode>
                <c:ptCount val="11"/>
                <c:pt idx="0">
                  <c:v>8</c:v>
                </c:pt>
                <c:pt idx="1">
                  <c:v>8</c:v>
                </c:pt>
                <c:pt idx="2">
                  <c:v>8</c:v>
                </c:pt>
                <c:pt idx="3">
                  <c:v>8</c:v>
                </c:pt>
                <c:pt idx="4">
                  <c:v>8</c:v>
                </c:pt>
                <c:pt idx="5">
                  <c:v>8</c:v>
                </c:pt>
                <c:pt idx="6">
                  <c:v>8</c:v>
                </c:pt>
                <c:pt idx="7">
                  <c:v>8</c:v>
                </c:pt>
                <c:pt idx="8">
                  <c:v>8</c:v>
                </c:pt>
                <c:pt idx="9">
                  <c:v>8</c:v>
                </c:pt>
                <c:pt idx="10">
                  <c:v>8</c:v>
                </c:pt>
              </c:numCache>
            </c:numRef>
          </c:val>
          <c:extLst>
            <c:ext xmlns:c16="http://schemas.microsoft.com/office/drawing/2014/chart" uri="{C3380CC4-5D6E-409C-BE32-E72D297353CC}">
              <c16:uniqueId val="{00000001-FEF4-4B06-ABD9-9C3DC18544B3}"/>
            </c:ext>
          </c:extLst>
        </c:ser>
        <c:ser>
          <c:idx val="2"/>
          <c:order val="2"/>
          <c:tx>
            <c:strRef>
              <c:f>'Données patients'!$E$164</c:f>
              <c:strCache>
                <c:ptCount val="1"/>
                <c:pt idx="0">
                  <c:v>Plutôt non</c:v>
                </c:pt>
              </c:strCache>
            </c:strRef>
          </c:tx>
          <c:spPr>
            <a:solidFill>
              <a:srgbClr val="FFC000"/>
            </a:solidFill>
            <a:ln>
              <a:solidFill>
                <a:schemeClr val="bg1"/>
              </a:solid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'Données patients'!$A$165:$B$175</c:f>
              <c:multiLvlStrCache>
                <c:ptCount val="11"/>
                <c:lvl>
                  <c:pt idx="0">
                    <c:v>Bénéfices, rôle et fonctionnement</c:v>
                  </c:pt>
                  <c:pt idx="1">
                    <c:v>Nature des matériaux</c:v>
                  </c:pt>
                  <c:pt idx="2">
                    <c:v>Durée de vie ou de pose</c:v>
                  </c:pt>
                  <c:pt idx="3">
                    <c:v>Etapes de pose</c:v>
                  </c:pt>
                  <c:pt idx="4">
                    <c:v>Suivi médical post implantation</c:v>
                  </c:pt>
                  <c:pt idx="5">
                    <c:v>Complications possibles</c:v>
                  </c:pt>
                  <c:pt idx="6">
                    <c:v>Activités professionnelles</c:v>
                  </c:pt>
                  <c:pt idx="7">
                    <c:v>Vie quotidienne / Environnement</c:v>
                  </c:pt>
                  <c:pt idx="8">
                    <c:v>Examens d'imagerie</c:v>
                  </c:pt>
                  <c:pt idx="9">
                    <c:v>Recours à certaines techniques chirurgicales</c:v>
                  </c:pt>
                  <c:pt idx="10">
                    <c:v>Le(s) contact(s) utile(s)</c:v>
                  </c:pt>
                </c:lvl>
                <c:lvl>
                  <c:pt idx="0">
                    <c:v>l'implant</c:v>
                  </c:pt>
                  <c:pt idx="5">
                    <c:v>risques, précautions et conduite à tenir</c:v>
                  </c:pt>
                </c:lvl>
              </c:multiLvlStrCache>
            </c:multiLvlStrRef>
          </c:cat>
          <c:val>
            <c:numRef>
              <c:f>'Données patients'!$E$165:$E$175</c:f>
              <c:numCache>
                <c:formatCode>0</c:formatCode>
                <c:ptCount val="11"/>
                <c:pt idx="0">
                  <c:v>7</c:v>
                </c:pt>
                <c:pt idx="1">
                  <c:v>8</c:v>
                </c:pt>
                <c:pt idx="2">
                  <c:v>8</c:v>
                </c:pt>
                <c:pt idx="3">
                  <c:v>7</c:v>
                </c:pt>
                <c:pt idx="4">
                  <c:v>7</c:v>
                </c:pt>
                <c:pt idx="5">
                  <c:v>7</c:v>
                </c:pt>
                <c:pt idx="6">
                  <c:v>7</c:v>
                </c:pt>
                <c:pt idx="7">
                  <c:v>7</c:v>
                </c:pt>
                <c:pt idx="8">
                  <c:v>7</c:v>
                </c:pt>
                <c:pt idx="9">
                  <c:v>7</c:v>
                </c:pt>
                <c:pt idx="10">
                  <c:v>7</c:v>
                </c:pt>
              </c:numCache>
            </c:numRef>
          </c:val>
          <c:extLst>
            <c:ext xmlns:c16="http://schemas.microsoft.com/office/drawing/2014/chart" uri="{C3380CC4-5D6E-409C-BE32-E72D297353CC}">
              <c16:uniqueId val="{00000002-FEF4-4B06-ABD9-9C3DC18544B3}"/>
            </c:ext>
          </c:extLst>
        </c:ser>
        <c:ser>
          <c:idx val="3"/>
          <c:order val="3"/>
          <c:tx>
            <c:strRef>
              <c:f>'Données patients'!$F$164</c:f>
              <c:strCache>
                <c:ptCount val="1"/>
                <c:pt idx="0">
                  <c:v>Non</c:v>
                </c:pt>
              </c:strCache>
            </c:strRef>
          </c:tx>
          <c:spPr>
            <a:solidFill>
              <a:srgbClr val="FF0000"/>
            </a:solidFill>
            <a:ln>
              <a:solidFill>
                <a:schemeClr val="bg1"/>
              </a:solid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'Données patients'!$A$165:$B$175</c:f>
              <c:multiLvlStrCache>
                <c:ptCount val="11"/>
                <c:lvl>
                  <c:pt idx="0">
                    <c:v>Bénéfices, rôle et fonctionnement</c:v>
                  </c:pt>
                  <c:pt idx="1">
                    <c:v>Nature des matériaux</c:v>
                  </c:pt>
                  <c:pt idx="2">
                    <c:v>Durée de vie ou de pose</c:v>
                  </c:pt>
                  <c:pt idx="3">
                    <c:v>Etapes de pose</c:v>
                  </c:pt>
                  <c:pt idx="4">
                    <c:v>Suivi médical post implantation</c:v>
                  </c:pt>
                  <c:pt idx="5">
                    <c:v>Complications possibles</c:v>
                  </c:pt>
                  <c:pt idx="6">
                    <c:v>Activités professionnelles</c:v>
                  </c:pt>
                  <c:pt idx="7">
                    <c:v>Vie quotidienne / Environnement</c:v>
                  </c:pt>
                  <c:pt idx="8">
                    <c:v>Examens d'imagerie</c:v>
                  </c:pt>
                  <c:pt idx="9">
                    <c:v>Recours à certaines techniques chirurgicales</c:v>
                  </c:pt>
                  <c:pt idx="10">
                    <c:v>Le(s) contact(s) utile(s)</c:v>
                  </c:pt>
                </c:lvl>
                <c:lvl>
                  <c:pt idx="0">
                    <c:v>l'implant</c:v>
                  </c:pt>
                  <c:pt idx="5">
                    <c:v>risques, précautions et conduite à tenir</c:v>
                  </c:pt>
                </c:lvl>
              </c:multiLvlStrCache>
            </c:multiLvlStrRef>
          </c:cat>
          <c:val>
            <c:numRef>
              <c:f>'Données patients'!$F$165:$F$175</c:f>
              <c:numCache>
                <c:formatCode>0</c:formatCode>
                <c:ptCount val="11"/>
                <c:pt idx="0">
                  <c:v>7</c:v>
                </c:pt>
                <c:pt idx="1">
                  <c:v>7</c:v>
                </c:pt>
                <c:pt idx="2">
                  <c:v>7</c:v>
                </c:pt>
                <c:pt idx="3">
                  <c:v>8</c:v>
                </c:pt>
                <c:pt idx="4">
                  <c:v>7</c:v>
                </c:pt>
                <c:pt idx="5">
                  <c:v>7</c:v>
                </c:pt>
                <c:pt idx="6">
                  <c:v>7</c:v>
                </c:pt>
                <c:pt idx="7">
                  <c:v>7</c:v>
                </c:pt>
                <c:pt idx="8">
                  <c:v>7</c:v>
                </c:pt>
                <c:pt idx="9">
                  <c:v>7</c:v>
                </c:pt>
                <c:pt idx="10">
                  <c:v>7</c:v>
                </c:pt>
              </c:numCache>
            </c:numRef>
          </c:val>
          <c:extLst>
            <c:ext xmlns:c16="http://schemas.microsoft.com/office/drawing/2014/chart" uri="{C3380CC4-5D6E-409C-BE32-E72D297353CC}">
              <c16:uniqueId val="{00000003-FEF4-4B06-ABD9-9C3DC18544B3}"/>
            </c:ext>
          </c:extLst>
        </c:ser>
        <c:dLbls>
          <c:dLblPos val="ctr"/>
          <c:showLegendKey val="0"/>
          <c:showVal val="1"/>
          <c:showCatName val="0"/>
          <c:showSerName val="0"/>
          <c:showPercent val="0"/>
          <c:showBubbleSize val="0"/>
        </c:dLbls>
        <c:gapWidth val="0"/>
        <c:overlap val="100"/>
        <c:axId val="525312655"/>
        <c:axId val="525319727"/>
      </c:barChart>
      <c:catAx>
        <c:axId val="52531265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25319727"/>
        <c:crosses val="autoZero"/>
        <c:auto val="1"/>
        <c:lblAlgn val="ctr"/>
        <c:lblOffset val="100"/>
        <c:noMultiLvlLbl val="0"/>
      </c:catAx>
      <c:valAx>
        <c:axId val="525319727"/>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253126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1"/>
          <c:order val="0"/>
          <c:tx>
            <c:strRef>
              <c:f>'Données patients'!$D$179</c:f>
              <c:strCache>
                <c:ptCount val="1"/>
                <c:pt idx="0">
                  <c:v>NON</c:v>
                </c:pt>
              </c:strCache>
            </c:strRef>
          </c:tx>
          <c:spPr>
            <a:solidFill>
              <a:srgbClr val="00BF63"/>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patients'!$B$186</c:f>
              <c:strCache>
                <c:ptCount val="1"/>
                <c:pt idx="0">
                  <c:v>Aucun document remis</c:v>
                </c:pt>
              </c:strCache>
            </c:strRef>
          </c:cat>
          <c:val>
            <c:numRef>
              <c:f>'Données patients'!$D$186</c:f>
              <c:numCache>
                <c:formatCode>General</c:formatCode>
                <c:ptCount val="1"/>
                <c:pt idx="0">
                  <c:v>15</c:v>
                </c:pt>
              </c:numCache>
            </c:numRef>
          </c:val>
          <c:extLst>
            <c:ext xmlns:c16="http://schemas.microsoft.com/office/drawing/2014/chart" uri="{C3380CC4-5D6E-409C-BE32-E72D297353CC}">
              <c16:uniqueId val="{00000001-B704-481D-9EEE-90DB230A22E8}"/>
            </c:ext>
          </c:extLst>
        </c:ser>
        <c:ser>
          <c:idx val="0"/>
          <c:order val="1"/>
          <c:tx>
            <c:strRef>
              <c:f>'Données patients'!$C$179</c:f>
              <c:strCache>
                <c:ptCount val="1"/>
                <c:pt idx="0">
                  <c:v>OUI</c:v>
                </c:pt>
              </c:strCache>
            </c:strRef>
          </c:tx>
          <c:spPr>
            <a:solidFill>
              <a:srgbClr val="FF0000"/>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patients'!$B$186</c:f>
              <c:strCache>
                <c:ptCount val="1"/>
                <c:pt idx="0">
                  <c:v>Aucun document remis</c:v>
                </c:pt>
              </c:strCache>
            </c:strRef>
          </c:cat>
          <c:val>
            <c:numRef>
              <c:f>'Données patients'!$C$186</c:f>
              <c:numCache>
                <c:formatCode>General</c:formatCode>
                <c:ptCount val="1"/>
                <c:pt idx="0">
                  <c:v>15</c:v>
                </c:pt>
              </c:numCache>
            </c:numRef>
          </c:val>
          <c:extLst>
            <c:ext xmlns:c16="http://schemas.microsoft.com/office/drawing/2014/chart" uri="{C3380CC4-5D6E-409C-BE32-E72D297353CC}">
              <c16:uniqueId val="{00000000-B704-481D-9EEE-90DB230A22E8}"/>
            </c:ext>
          </c:extLst>
        </c:ser>
        <c:dLbls>
          <c:showLegendKey val="0"/>
          <c:showVal val="0"/>
          <c:showCatName val="0"/>
          <c:showSerName val="0"/>
          <c:showPercent val="0"/>
          <c:showBubbleSize val="0"/>
        </c:dLbls>
        <c:gapWidth val="0"/>
        <c:overlap val="100"/>
        <c:axId val="1241556768"/>
        <c:axId val="1241555520"/>
      </c:barChart>
      <c:catAx>
        <c:axId val="124155676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1555520"/>
        <c:crosses val="autoZero"/>
        <c:auto val="1"/>
        <c:lblAlgn val="ctr"/>
        <c:lblOffset val="100"/>
        <c:noMultiLvlLbl val="0"/>
      </c:catAx>
      <c:valAx>
        <c:axId val="124155552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155676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50" b="0" i="0" u="none" strike="noStrike" kern="1200" cap="none" spc="20" baseline="0">
              <a:solidFill>
                <a:schemeClr val="tx1">
                  <a:lumMod val="50000"/>
                  <a:lumOff val="50000"/>
                </a:schemeClr>
              </a:solidFill>
              <a:latin typeface="+mn-lt"/>
              <a:ea typeface="+mn-ea"/>
              <a:cs typeface="+mn-cs"/>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'Données patients'!$B$192</c:f>
              <c:strCache>
                <c:ptCount val="1"/>
                <c:pt idx="0">
                  <c:v>Souvenir d'un consentement écrit et signé</c:v>
                </c:pt>
              </c:strCache>
            </c:strRef>
          </c:tx>
          <c:dPt>
            <c:idx val="0"/>
            <c:bubble3D val="0"/>
            <c:spPr>
              <a:solidFill>
                <a:srgbClr val="00BF63"/>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5-9ECD-4788-904B-B025EB259EC9}"/>
              </c:ext>
            </c:extLst>
          </c:dPt>
          <c:dPt>
            <c:idx val="1"/>
            <c:bubble3D val="0"/>
            <c:spPr>
              <a:solidFill>
                <a:srgbClr val="FF0000"/>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6-9ECD-4788-904B-B025EB259EC9}"/>
              </c:ext>
            </c:extLst>
          </c:dPt>
          <c:dPt>
            <c:idx val="2"/>
            <c:bubble3D val="0"/>
            <c:spPr>
              <a:solidFill>
                <a:schemeClr val="accent6">
                  <a:lumMod val="20000"/>
                  <a:lumOff val="80000"/>
                </a:schemeClr>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7-9ECD-4788-904B-B025EB259EC9}"/>
              </c:ext>
            </c:extLst>
          </c:dPt>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fr-FR"/>
              </a:p>
            </c:txPr>
            <c:dLblPos val="ct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'Données patients'!$C$191:$E$191</c:f>
              <c:strCache>
                <c:ptCount val="3"/>
                <c:pt idx="0">
                  <c:v>OUI</c:v>
                </c:pt>
                <c:pt idx="1">
                  <c:v>NON</c:v>
                </c:pt>
                <c:pt idx="2">
                  <c:v>Je ne sais plus</c:v>
                </c:pt>
              </c:strCache>
            </c:strRef>
          </c:cat>
          <c:val>
            <c:numRef>
              <c:f>'Données patients'!$C$192:$E$192</c:f>
              <c:numCache>
                <c:formatCode>General</c:formatCode>
                <c:ptCount val="3"/>
                <c:pt idx="0">
                  <c:v>0</c:v>
                </c:pt>
                <c:pt idx="1">
                  <c:v>0</c:v>
                </c:pt>
                <c:pt idx="2">
                  <c:v>30</c:v>
                </c:pt>
              </c:numCache>
            </c:numRef>
          </c:val>
          <c:extLst>
            <c:ext xmlns:c16="http://schemas.microsoft.com/office/drawing/2014/chart" uri="{C3380CC4-5D6E-409C-BE32-E72D297353CC}">
              <c16:uniqueId val="{00000000-9ECD-4788-904B-B025EB259EC9}"/>
            </c:ext>
          </c:extLst>
        </c:ser>
        <c:dLbls>
          <c:dLblPos val="ctr"/>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50" b="0" i="0" u="none" strike="noStrike" kern="1200" cap="none" spc="20" baseline="0">
              <a:solidFill>
                <a:schemeClr val="tx1">
                  <a:lumMod val="50000"/>
                  <a:lumOff val="50000"/>
                </a:schemeClr>
              </a:solidFill>
              <a:latin typeface="+mn-lt"/>
              <a:ea typeface="+mn-ea"/>
              <a:cs typeface="+mn-cs"/>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'Données patients'!$B$193</c:f>
              <c:strCache>
                <c:ptCount val="1"/>
                <c:pt idx="0">
                  <c:v>Souvenir d'une information sur l'accès aux données dans le DMP</c:v>
                </c:pt>
              </c:strCache>
            </c:strRef>
          </c:tx>
          <c:dPt>
            <c:idx val="0"/>
            <c:bubble3D val="0"/>
            <c:spPr>
              <a:solidFill>
                <a:srgbClr val="00BF63"/>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3-B970-4B52-9283-F687192F6025}"/>
              </c:ext>
            </c:extLst>
          </c:dPt>
          <c:dPt>
            <c:idx val="1"/>
            <c:bubble3D val="0"/>
            <c:spPr>
              <a:solidFill>
                <a:srgbClr val="FF0000"/>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4-B970-4B52-9283-F687192F6025}"/>
              </c:ext>
            </c:extLst>
          </c:dPt>
          <c:dPt>
            <c:idx val="2"/>
            <c:bubble3D val="0"/>
            <c:spPr>
              <a:solidFill>
                <a:schemeClr val="accent6">
                  <a:lumMod val="20000"/>
                  <a:lumOff val="80000"/>
                </a:schemeClr>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5-B970-4B52-9283-F687192F6025}"/>
              </c:ext>
            </c:extLst>
          </c:dPt>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fr-FR"/>
              </a:p>
            </c:txPr>
            <c:dLblPos val="ct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'Données patients'!$C$191:$E$191</c:f>
              <c:strCache>
                <c:ptCount val="3"/>
                <c:pt idx="0">
                  <c:v>OUI</c:v>
                </c:pt>
                <c:pt idx="1">
                  <c:v>NON</c:v>
                </c:pt>
                <c:pt idx="2">
                  <c:v>Je ne sais plus</c:v>
                </c:pt>
              </c:strCache>
            </c:strRef>
          </c:cat>
          <c:val>
            <c:numRef>
              <c:f>'Données patients'!$C$193:$E$193</c:f>
              <c:numCache>
                <c:formatCode>General</c:formatCode>
                <c:ptCount val="3"/>
                <c:pt idx="0">
                  <c:v>7</c:v>
                </c:pt>
                <c:pt idx="1">
                  <c:v>5</c:v>
                </c:pt>
                <c:pt idx="2">
                  <c:v>18</c:v>
                </c:pt>
              </c:numCache>
            </c:numRef>
          </c:val>
          <c:extLst>
            <c:ext xmlns:c16="http://schemas.microsoft.com/office/drawing/2014/chart" uri="{C3380CC4-5D6E-409C-BE32-E72D297353CC}">
              <c16:uniqueId val="{00000000-B970-4B52-9283-F687192F6025}"/>
            </c:ext>
          </c:extLst>
        </c:ser>
        <c:dLbls>
          <c:dLblPos val="ctr"/>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50000"/>
                  <a:lumOff val="50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oddFooter>&amp;C&amp;K034EA2Enquête information patient et audit traçabilité des Dispositifs Médicaux Implantables (DMI)&amp;R&amp;K034EA2&amp;P/&amp;N</c:oddFooter>
    </c:headerFooter>
    <c:pageMargins b="0.75" l="0.7" r="0.7" t="0.75" header="0.3" footer="0.3"/>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50" b="0" i="0" u="none" strike="noStrike" kern="1200" cap="none" spc="20" baseline="0">
              <a:solidFill>
                <a:schemeClr val="tx1">
                  <a:lumMod val="50000"/>
                  <a:lumOff val="50000"/>
                </a:schemeClr>
              </a:solidFill>
              <a:latin typeface="+mn-lt"/>
              <a:ea typeface="+mn-ea"/>
              <a:cs typeface="+mn-cs"/>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'Données patients'!$B$194</c:f>
              <c:strCache>
                <c:ptCount val="1"/>
                <c:pt idx="0">
                  <c:v>Souvenir d'une information sur l'importance de signaler l’implant aux soignants</c:v>
                </c:pt>
              </c:strCache>
            </c:strRef>
          </c:tx>
          <c:dPt>
            <c:idx val="0"/>
            <c:bubble3D val="0"/>
            <c:spPr>
              <a:solidFill>
                <a:srgbClr val="00BF63"/>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1-0534-4329-842B-15F5F9D9DB12}"/>
              </c:ext>
            </c:extLst>
          </c:dPt>
          <c:dPt>
            <c:idx val="1"/>
            <c:bubble3D val="0"/>
            <c:spPr>
              <a:solidFill>
                <a:srgbClr val="FF0000"/>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2-0534-4329-842B-15F5F9D9DB12}"/>
              </c:ext>
            </c:extLst>
          </c:dPt>
          <c:dPt>
            <c:idx val="2"/>
            <c:bubble3D val="0"/>
            <c:spPr>
              <a:solidFill>
                <a:schemeClr val="accent6">
                  <a:lumMod val="20000"/>
                  <a:lumOff val="80000"/>
                </a:schemeClr>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3-0534-4329-842B-15F5F9D9DB12}"/>
              </c:ext>
            </c:extLst>
          </c:dPt>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fr-FR"/>
              </a:p>
            </c:txPr>
            <c:dLblPos val="ct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'Données patients'!$C$191:$E$191</c:f>
              <c:strCache>
                <c:ptCount val="3"/>
                <c:pt idx="0">
                  <c:v>OUI</c:v>
                </c:pt>
                <c:pt idx="1">
                  <c:v>NON</c:v>
                </c:pt>
                <c:pt idx="2">
                  <c:v>Je ne sais plus</c:v>
                </c:pt>
              </c:strCache>
            </c:strRef>
          </c:cat>
          <c:val>
            <c:numRef>
              <c:f>'Données patients'!$C$194:$E$194</c:f>
              <c:numCache>
                <c:formatCode>General</c:formatCode>
                <c:ptCount val="3"/>
                <c:pt idx="0">
                  <c:v>0</c:v>
                </c:pt>
                <c:pt idx="1">
                  <c:v>0</c:v>
                </c:pt>
                <c:pt idx="2">
                  <c:v>30</c:v>
                </c:pt>
              </c:numCache>
            </c:numRef>
          </c:val>
          <c:extLst>
            <c:ext xmlns:c16="http://schemas.microsoft.com/office/drawing/2014/chart" uri="{C3380CC4-5D6E-409C-BE32-E72D297353CC}">
              <c16:uniqueId val="{00000000-0534-4329-842B-15F5F9D9DB12}"/>
            </c:ext>
          </c:extLst>
        </c:ser>
        <c:dLbls>
          <c:dLblPos val="ctr"/>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50000"/>
                  <a:lumOff val="50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'Données patients'!$C$207</c:f>
              <c:strCache>
                <c:ptCount val="1"/>
                <c:pt idx="0">
                  <c:v>OUI</c:v>
                </c:pt>
              </c:strCache>
            </c:strRef>
          </c:tx>
          <c:spPr>
            <a:solidFill>
              <a:srgbClr val="00BF63"/>
            </a:solidFill>
            <a:ln>
              <a:solidFill>
                <a:schemeClr val="bg1"/>
              </a:solid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'Données patients'!$A$208:$B$212</c15:sqref>
                  </c15:fullRef>
                  <c15:levelRef>
                    <c15:sqref>'Données patients'!$B$208:$B$212</c15:sqref>
                  </c15:levelRef>
                </c:ext>
              </c:extLst>
              <c:f>'Données patients'!$B$208:$B$212</c:f>
              <c:strCache>
                <c:ptCount val="5"/>
                <c:pt idx="0">
                  <c:v>Nom, modèle / numéro de lot/série, IUD ℹ️</c:v>
                </c:pt>
                <c:pt idx="1">
                  <c:v>Nom / adresse / site internet du fabricant</c:v>
                </c:pt>
                <c:pt idx="2">
                  <c:v>Date d’implantation</c:v>
                </c:pt>
                <c:pt idx="3">
                  <c:v>Nom du médecin implanteur</c:v>
                </c:pt>
                <c:pt idx="4">
                  <c:v>Coordonnées de l’établissement</c:v>
                </c:pt>
              </c:strCache>
            </c:strRef>
          </c:cat>
          <c:val>
            <c:numRef>
              <c:f>'Données patients'!$C$208:$C$212</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E835-4678-B312-2250AE0A4482}"/>
            </c:ext>
          </c:extLst>
        </c:ser>
        <c:ser>
          <c:idx val="1"/>
          <c:order val="1"/>
          <c:tx>
            <c:strRef>
              <c:f>'Données patients'!$D$207</c:f>
              <c:strCache>
                <c:ptCount val="1"/>
                <c:pt idx="0">
                  <c:v>NON</c:v>
                </c:pt>
              </c:strCache>
            </c:strRef>
          </c:tx>
          <c:spPr>
            <a:solidFill>
              <a:srgbClr val="FF0000"/>
            </a:solidFill>
            <a:ln>
              <a:solidFill>
                <a:schemeClr val="bg1"/>
              </a:solid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'Données patients'!$A$208:$B$212</c15:sqref>
                  </c15:fullRef>
                  <c15:levelRef>
                    <c15:sqref>'Données patients'!$B$208:$B$212</c15:sqref>
                  </c15:levelRef>
                </c:ext>
              </c:extLst>
              <c:f>'Données patients'!$B$208:$B$212</c:f>
              <c:strCache>
                <c:ptCount val="5"/>
                <c:pt idx="0">
                  <c:v>Nom, modèle / numéro de lot/série, IUD ℹ️</c:v>
                </c:pt>
                <c:pt idx="1">
                  <c:v>Nom / adresse / site internet du fabricant</c:v>
                </c:pt>
                <c:pt idx="2">
                  <c:v>Date d’implantation</c:v>
                </c:pt>
                <c:pt idx="3">
                  <c:v>Nom du médecin implanteur</c:v>
                </c:pt>
                <c:pt idx="4">
                  <c:v>Coordonnées de l’établissement</c:v>
                </c:pt>
              </c:strCache>
            </c:strRef>
          </c:cat>
          <c:val>
            <c:numRef>
              <c:f>'Données patients'!$D$208:$D$212</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E835-4678-B312-2250AE0A4482}"/>
            </c:ext>
          </c:extLst>
        </c:ser>
        <c:dLbls>
          <c:dLblPos val="ctr"/>
          <c:showLegendKey val="0"/>
          <c:showVal val="1"/>
          <c:showCatName val="0"/>
          <c:showSerName val="0"/>
          <c:showPercent val="0"/>
          <c:showBubbleSize val="0"/>
        </c:dLbls>
        <c:gapWidth val="0"/>
        <c:overlap val="100"/>
        <c:axId val="1963984592"/>
        <c:axId val="1963985424"/>
      </c:barChart>
      <c:catAx>
        <c:axId val="196398459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63985424"/>
        <c:crosses val="autoZero"/>
        <c:auto val="1"/>
        <c:lblAlgn val="ctr"/>
        <c:lblOffset val="100"/>
        <c:noMultiLvlLbl val="0"/>
      </c:catAx>
      <c:valAx>
        <c:axId val="1963985424"/>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639845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1"/>
          <c:order val="0"/>
          <c:tx>
            <c:strRef>
              <c:f>'Données patients'!$D$207</c:f>
              <c:strCache>
                <c:ptCount val="1"/>
                <c:pt idx="0">
                  <c:v>NON</c:v>
                </c:pt>
              </c:strCache>
            </c:strRef>
          </c:tx>
          <c:spPr>
            <a:solidFill>
              <a:srgbClr val="00BF63"/>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patients'!$B$213</c:f>
              <c:strCache>
                <c:ptCount val="1"/>
                <c:pt idx="0">
                  <c:v>Je ne sais pas</c:v>
                </c:pt>
              </c:strCache>
            </c:strRef>
          </c:cat>
          <c:val>
            <c:numRef>
              <c:f>'Données patients'!$D$213</c:f>
              <c:numCache>
                <c:formatCode>General</c:formatCode>
                <c:ptCount val="1"/>
                <c:pt idx="0">
                  <c:v>0</c:v>
                </c:pt>
              </c:numCache>
            </c:numRef>
          </c:val>
          <c:extLst>
            <c:ext xmlns:c16="http://schemas.microsoft.com/office/drawing/2014/chart" uri="{C3380CC4-5D6E-409C-BE32-E72D297353CC}">
              <c16:uniqueId val="{00000001-286A-4D60-A670-CC6E8E814ED6}"/>
            </c:ext>
          </c:extLst>
        </c:ser>
        <c:ser>
          <c:idx val="0"/>
          <c:order val="1"/>
          <c:tx>
            <c:strRef>
              <c:f>'Données patients'!$C$207</c:f>
              <c:strCache>
                <c:ptCount val="1"/>
                <c:pt idx="0">
                  <c:v>OUI</c:v>
                </c:pt>
              </c:strCache>
            </c:strRef>
          </c:tx>
          <c:spPr>
            <a:solidFill>
              <a:srgbClr val="FF0000"/>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patients'!$B$213</c:f>
              <c:strCache>
                <c:ptCount val="1"/>
                <c:pt idx="0">
                  <c:v>Je ne sais pas</c:v>
                </c:pt>
              </c:strCache>
            </c:strRef>
          </c:cat>
          <c:val>
            <c:numRef>
              <c:f>'Données patients'!$C$213</c:f>
              <c:numCache>
                <c:formatCode>General</c:formatCode>
                <c:ptCount val="1"/>
                <c:pt idx="0">
                  <c:v>30</c:v>
                </c:pt>
              </c:numCache>
            </c:numRef>
          </c:val>
          <c:extLst>
            <c:ext xmlns:c16="http://schemas.microsoft.com/office/drawing/2014/chart" uri="{C3380CC4-5D6E-409C-BE32-E72D297353CC}">
              <c16:uniqueId val="{00000000-286A-4D60-A670-CC6E8E814ED6}"/>
            </c:ext>
          </c:extLst>
        </c:ser>
        <c:dLbls>
          <c:showLegendKey val="0"/>
          <c:showVal val="0"/>
          <c:showCatName val="0"/>
          <c:showSerName val="0"/>
          <c:showPercent val="0"/>
          <c:showBubbleSize val="0"/>
        </c:dLbls>
        <c:gapWidth val="0"/>
        <c:overlap val="100"/>
        <c:axId val="288832672"/>
        <c:axId val="288806464"/>
      </c:barChart>
      <c:catAx>
        <c:axId val="28883267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88806464"/>
        <c:crosses val="autoZero"/>
        <c:auto val="1"/>
        <c:lblAlgn val="ctr"/>
        <c:lblOffset val="100"/>
        <c:noMultiLvlLbl val="0"/>
      </c:catAx>
      <c:valAx>
        <c:axId val="288806464"/>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8883267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fr-FR" sz="900" b="0" i="0" u="none" strike="noStrike" kern="1200" spc="0" baseline="0">
                <a:solidFill>
                  <a:sysClr val="windowText" lastClr="000000">
                    <a:lumMod val="65000"/>
                    <a:lumOff val="35000"/>
                  </a:sysClr>
                </a:solidFill>
                <a:effectLst/>
                <a:latin typeface="+mn-lt"/>
                <a:ea typeface="+mn-ea"/>
                <a:cs typeface="+mn-cs"/>
              </a:defRPr>
            </a:pPr>
            <a:r>
              <a:rPr lang="fr-FR" sz="900" b="0" i="0" u="none" strike="noStrike" baseline="0">
                <a:effectLst/>
              </a:rPr>
              <a:t>Répartition par classe d’âge  &amp; par genre</a:t>
            </a:r>
            <a:endParaRPr lang="fr-FR" sz="900" b="0" i="0" u="none" strike="noStrike" kern="1200" spc="0" baseline="0">
              <a:solidFill>
                <a:sysClr val="windowText" lastClr="000000">
                  <a:lumMod val="65000"/>
                  <a:lumOff val="35000"/>
                </a:sysClr>
              </a:solidFill>
              <a:effectLst/>
              <a:latin typeface="+mn-lt"/>
              <a:ea typeface="+mn-ea"/>
              <a:cs typeface="+mn-cs"/>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fr-FR" sz="900" b="0" i="0" u="none" strike="noStrike" kern="1200" spc="0" baseline="0">
              <a:solidFill>
                <a:sysClr val="windowText" lastClr="000000">
                  <a:lumMod val="65000"/>
                  <a:lumOff val="35000"/>
                </a:sysClr>
              </a:solidFill>
              <a:effectLst/>
              <a:latin typeface="+mn-lt"/>
              <a:ea typeface="+mn-ea"/>
              <a:cs typeface="+mn-cs"/>
            </a:defRPr>
          </a:pPr>
          <a:endParaRPr lang="fr-FR"/>
        </a:p>
      </c:txPr>
    </c:title>
    <c:autoTitleDeleted val="0"/>
    <c:plotArea>
      <c:layout/>
      <c:barChart>
        <c:barDir val="bar"/>
        <c:grouping val="clustered"/>
        <c:varyColors val="0"/>
        <c:ser>
          <c:idx val="1"/>
          <c:order val="1"/>
          <c:tx>
            <c:strRef>
              <c:f>Feuil1!$A$1</c:f>
              <c:strCache>
                <c:ptCount val="1"/>
                <c:pt idx="0">
                  <c:v>Femme</c:v>
                </c:pt>
              </c:strCache>
            </c:strRef>
          </c:tx>
          <c:spPr>
            <a:solidFill>
              <a:srgbClr val="FF00FF"/>
            </a:solidFill>
            <a:ln>
              <a:solidFill>
                <a:schemeClr val="bg1"/>
              </a:solidFill>
            </a:ln>
            <a:effectLst/>
          </c:spPr>
          <c:invertIfNegative val="0"/>
          <c:cat>
            <c:strRef>
              <c:f>'Données patients'!$B$12:$B$18</c:f>
              <c:strCache>
                <c:ptCount val="7"/>
                <c:pt idx="0">
                  <c:v>[  0 - 14 ans]</c:v>
                </c:pt>
                <c:pt idx="1">
                  <c:v>[15 - 19 ans]</c:v>
                </c:pt>
                <c:pt idx="2">
                  <c:v>[20 - 29 ans]</c:v>
                </c:pt>
                <c:pt idx="3">
                  <c:v>[30 - 39 ans]</c:v>
                </c:pt>
                <c:pt idx="4">
                  <c:v>[50 - 59 ans]</c:v>
                </c:pt>
                <c:pt idx="5">
                  <c:v>[60 - 69 ans]</c:v>
                </c:pt>
                <c:pt idx="6">
                  <c:v>[70 ans et +[ </c:v>
                </c:pt>
              </c:strCache>
            </c:strRef>
          </c:cat>
          <c:val>
            <c:numRef>
              <c:f>Feuil1!$A$2:$A$8</c:f>
              <c:numCache>
                <c:formatCode>0</c:formatCode>
                <c:ptCount val="7"/>
                <c:pt idx="0">
                  <c:v>-1</c:v>
                </c:pt>
                <c:pt idx="1">
                  <c:v>-2</c:v>
                </c:pt>
                <c:pt idx="2">
                  <c:v>-2</c:v>
                </c:pt>
                <c:pt idx="3">
                  <c:v>-3</c:v>
                </c:pt>
                <c:pt idx="4">
                  <c:v>-5</c:v>
                </c:pt>
                <c:pt idx="6">
                  <c:v>0</c:v>
                </c:pt>
              </c:numCache>
            </c:numRef>
          </c:val>
          <c:extLst>
            <c:ext xmlns:c16="http://schemas.microsoft.com/office/drawing/2014/chart" uri="{C3380CC4-5D6E-409C-BE32-E72D297353CC}">
              <c16:uniqueId val="{00000001-D098-4680-90B6-E2410C4BC3A5}"/>
            </c:ext>
          </c:extLst>
        </c:ser>
        <c:ser>
          <c:idx val="2"/>
          <c:order val="2"/>
          <c:tx>
            <c:strRef>
              <c:f>'Données patients'!$D$10</c:f>
              <c:strCache>
                <c:ptCount val="1"/>
                <c:pt idx="0">
                  <c:v>Homme</c:v>
                </c:pt>
              </c:strCache>
            </c:strRef>
          </c:tx>
          <c:spPr>
            <a:solidFill>
              <a:srgbClr val="0049AE"/>
            </a:solidFill>
            <a:ln>
              <a:solidFill>
                <a:schemeClr val="bg1"/>
              </a:solidFill>
            </a:ln>
            <a:effectLst/>
          </c:spPr>
          <c:invertIfNegative val="0"/>
          <c:cat>
            <c:strRef>
              <c:f>'Données patients'!$B$12:$B$18</c:f>
              <c:strCache>
                <c:ptCount val="7"/>
                <c:pt idx="0">
                  <c:v>[  0 - 14 ans]</c:v>
                </c:pt>
                <c:pt idx="1">
                  <c:v>[15 - 19 ans]</c:v>
                </c:pt>
                <c:pt idx="2">
                  <c:v>[20 - 29 ans]</c:v>
                </c:pt>
                <c:pt idx="3">
                  <c:v>[30 - 39 ans]</c:v>
                </c:pt>
                <c:pt idx="4">
                  <c:v>[50 - 59 ans]</c:v>
                </c:pt>
                <c:pt idx="5">
                  <c:v>[60 - 69 ans]</c:v>
                </c:pt>
                <c:pt idx="6">
                  <c:v>[70 ans et +[ </c:v>
                </c:pt>
              </c:strCache>
            </c:strRef>
          </c:cat>
          <c:val>
            <c:numRef>
              <c:f>'Données patients'!$D$12:$D$18</c:f>
              <c:numCache>
                <c:formatCode>General</c:formatCode>
                <c:ptCount val="7"/>
                <c:pt idx="0">
                  <c:v>0</c:v>
                </c:pt>
                <c:pt idx="1">
                  <c:v>3</c:v>
                </c:pt>
                <c:pt idx="2">
                  <c:v>2</c:v>
                </c:pt>
                <c:pt idx="3">
                  <c:v>3</c:v>
                </c:pt>
                <c:pt idx="4">
                  <c:v>2</c:v>
                </c:pt>
                <c:pt idx="5">
                  <c:v>2</c:v>
                </c:pt>
                <c:pt idx="6">
                  <c:v>4</c:v>
                </c:pt>
              </c:numCache>
            </c:numRef>
          </c:val>
          <c:extLst>
            <c:ext xmlns:c16="http://schemas.microsoft.com/office/drawing/2014/chart" uri="{C3380CC4-5D6E-409C-BE32-E72D297353CC}">
              <c16:uniqueId val="{00000002-D098-4680-90B6-E2410C4BC3A5}"/>
            </c:ext>
          </c:extLst>
        </c:ser>
        <c:dLbls>
          <c:showLegendKey val="0"/>
          <c:showVal val="0"/>
          <c:showCatName val="0"/>
          <c:showSerName val="0"/>
          <c:showPercent val="0"/>
          <c:showBubbleSize val="0"/>
        </c:dLbls>
        <c:gapWidth val="0"/>
        <c:overlap val="100"/>
        <c:axId val="1130928176"/>
        <c:axId val="1130935664"/>
        <c:extLst>
          <c:ext xmlns:c15="http://schemas.microsoft.com/office/drawing/2012/chart" uri="{02D57815-91ED-43cb-92C2-25804820EDAC}">
            <c15:filteredBarSeries>
              <c15:ser>
                <c:idx val="0"/>
                <c:order val="0"/>
                <c:tx>
                  <c:strRef>
                    <c:extLst>
                      <c:ext uri="{02D57815-91ED-43cb-92C2-25804820EDAC}">
                        <c15:formulaRef>
                          <c15:sqref>'Données patients'!$C$10</c15:sqref>
                        </c15:formulaRef>
                      </c:ext>
                    </c:extLst>
                    <c:strCache>
                      <c:ptCount val="1"/>
                      <c:pt idx="0">
                        <c:v>Femme</c:v>
                      </c:pt>
                    </c:strCache>
                  </c:strRef>
                </c:tx>
                <c:spPr>
                  <a:solidFill>
                    <a:schemeClr val="accent1"/>
                  </a:solidFill>
                  <a:ln>
                    <a:noFill/>
                  </a:ln>
                  <a:effectLst/>
                </c:spPr>
                <c:invertIfNegative val="0"/>
                <c:cat>
                  <c:strRef>
                    <c:extLst>
                      <c:ext uri="{02D57815-91ED-43cb-92C2-25804820EDAC}">
                        <c15:formulaRef>
                          <c15:sqref>'Données patients'!$B$12:$B$18</c15:sqref>
                        </c15:formulaRef>
                      </c:ext>
                    </c:extLst>
                    <c:strCache>
                      <c:ptCount val="7"/>
                      <c:pt idx="0">
                        <c:v>[  0 - 14 ans]</c:v>
                      </c:pt>
                      <c:pt idx="1">
                        <c:v>[15 - 19 ans]</c:v>
                      </c:pt>
                      <c:pt idx="2">
                        <c:v>[20 - 29 ans]</c:v>
                      </c:pt>
                      <c:pt idx="3">
                        <c:v>[30 - 39 ans]</c:v>
                      </c:pt>
                      <c:pt idx="4">
                        <c:v>[50 - 59 ans]</c:v>
                      </c:pt>
                      <c:pt idx="5">
                        <c:v>[60 - 69 ans]</c:v>
                      </c:pt>
                      <c:pt idx="6">
                        <c:v>[70 ans et +[ </c:v>
                      </c:pt>
                    </c:strCache>
                  </c:strRef>
                </c:cat>
                <c:val>
                  <c:numRef>
                    <c:extLst>
                      <c:ext uri="{02D57815-91ED-43cb-92C2-25804820EDAC}">
                        <c15:formulaRef>
                          <c15:sqref>'Données patients'!$C$12:$C$18</c15:sqref>
                        </c15:formulaRef>
                      </c:ext>
                    </c:extLst>
                    <c:numCache>
                      <c:formatCode>General</c:formatCode>
                      <c:ptCount val="7"/>
                      <c:pt idx="0">
                        <c:v>1</c:v>
                      </c:pt>
                      <c:pt idx="1">
                        <c:v>2</c:v>
                      </c:pt>
                      <c:pt idx="2">
                        <c:v>2</c:v>
                      </c:pt>
                      <c:pt idx="3">
                        <c:v>1</c:v>
                      </c:pt>
                      <c:pt idx="4">
                        <c:v>3</c:v>
                      </c:pt>
                      <c:pt idx="5">
                        <c:v>5</c:v>
                      </c:pt>
                      <c:pt idx="6">
                        <c:v>0</c:v>
                      </c:pt>
                    </c:numCache>
                  </c:numRef>
                </c:val>
                <c:extLst>
                  <c:ext xmlns:c16="http://schemas.microsoft.com/office/drawing/2014/chart" uri="{C3380CC4-5D6E-409C-BE32-E72D297353CC}">
                    <c16:uniqueId val="{00000000-D098-4680-90B6-E2410C4BC3A5}"/>
                  </c:ext>
                </c:extLst>
              </c15:ser>
            </c15:filteredBarSeries>
          </c:ext>
        </c:extLst>
      </c:barChart>
      <c:catAx>
        <c:axId val="1130928176"/>
        <c:scaling>
          <c:orientation val="minMax"/>
        </c:scaling>
        <c:delete val="0"/>
        <c:axPos val="l"/>
        <c:majorGridlines>
          <c:spPr>
            <a:ln w="9525" cap="flat" cmpd="sng" algn="ctr">
              <a:solidFill>
                <a:schemeClr val="tx1">
                  <a:lumMod val="15000"/>
                  <a:lumOff val="85000"/>
                </a:schemeClr>
              </a:solidFill>
              <a:prstDash val="sysDash"/>
              <a:round/>
            </a:ln>
            <a:effectLst/>
          </c:spPr>
        </c:majorGridlines>
        <c:numFmt formatCode="General" sourceLinked="1"/>
        <c:majorTickMark val="none"/>
        <c:minorTickMark val="none"/>
        <c:tickLblPos val="low"/>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30935664"/>
        <c:crosses val="autoZero"/>
        <c:auto val="1"/>
        <c:lblAlgn val="ctr"/>
        <c:lblOffset val="100"/>
        <c:noMultiLvlLbl val="0"/>
      </c:catAx>
      <c:valAx>
        <c:axId val="1130935664"/>
        <c:scaling>
          <c:orientation val="minMax"/>
        </c:scaling>
        <c:delete val="1"/>
        <c:axPos val="b"/>
        <c:majorGridlines>
          <c:spPr>
            <a:ln w="9525" cap="flat" cmpd="sng" algn="ctr">
              <a:solidFill>
                <a:schemeClr val="tx1">
                  <a:lumMod val="15000"/>
                  <a:lumOff val="85000"/>
                </a:schemeClr>
              </a:solidFill>
              <a:prstDash val="sysDash"/>
              <a:round/>
            </a:ln>
            <a:effectLst/>
          </c:spPr>
        </c:majorGridlines>
        <c:numFmt formatCode="0" sourceLinked="1"/>
        <c:majorTickMark val="out"/>
        <c:minorTickMark val="none"/>
        <c:tickLblPos val="nextTo"/>
        <c:crossAx val="1130928176"/>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900"/>
      </a:pPr>
      <a:endParaRPr lang="fr-FR"/>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'Données patients'!$C$218</c:f>
              <c:strCache>
                <c:ptCount val="1"/>
                <c:pt idx="0">
                  <c:v>OUI</c:v>
                </c:pt>
              </c:strCache>
            </c:strRef>
          </c:tx>
          <c:spPr>
            <a:solidFill>
              <a:srgbClr val="00BF63"/>
            </a:solidFill>
            <a:ln>
              <a:noFill/>
            </a:ln>
            <a:effectLst/>
          </c:spPr>
          <c:invertIfNegative val="0"/>
          <c:cat>
            <c:strRef>
              <c:f>'Données patients'!$B$219:$B$224</c:f>
              <c:strCache>
                <c:ptCount val="6"/>
                <c:pt idx="0">
                  <c:v>Favoriser l'information et la coordination des professionnels de santé</c:v>
                </c:pt>
                <c:pt idx="1">
                  <c:v>Disposer des coordonnées du fabricant</c:v>
                </c:pt>
                <c:pt idx="2">
                  <c:v>Retrouver les caractéristiques de mon implant en cas d’examen d'imagerie</c:v>
                </c:pt>
                <c:pt idx="3">
                  <c:v> Accéder aux informations de sécurité sur EUDAMED</c:v>
                </c:pt>
                <c:pt idx="4">
                  <c:v>À identifier si vous êtes concerné(e) par une alerte sanitaire de matériovigilance</c:v>
                </c:pt>
                <c:pt idx="5">
                  <c:v>Compléter le formulaire de déclaration de matériovigilance ℹ️ </c:v>
                </c:pt>
              </c:strCache>
            </c:strRef>
          </c:cat>
          <c:val>
            <c:numRef>
              <c:f>'Données patients'!$C$219:$C$224</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CDA2-44F8-8B43-EC66EA542F9E}"/>
            </c:ext>
          </c:extLst>
        </c:ser>
        <c:ser>
          <c:idx val="1"/>
          <c:order val="1"/>
          <c:tx>
            <c:strRef>
              <c:f>'Données patients'!$D$218</c:f>
              <c:strCache>
                <c:ptCount val="1"/>
                <c:pt idx="0">
                  <c:v>NON</c:v>
                </c:pt>
              </c:strCache>
            </c:strRef>
          </c:tx>
          <c:spPr>
            <a:solidFill>
              <a:srgbClr val="FF0000"/>
            </a:solidFill>
            <a:ln>
              <a:noFill/>
            </a:ln>
            <a:effectLst/>
          </c:spPr>
          <c:invertIfNegative val="0"/>
          <c:cat>
            <c:strRef>
              <c:f>'Données patients'!$B$219:$B$224</c:f>
              <c:strCache>
                <c:ptCount val="6"/>
                <c:pt idx="0">
                  <c:v>Favoriser l'information et la coordination des professionnels de santé</c:v>
                </c:pt>
                <c:pt idx="1">
                  <c:v>Disposer des coordonnées du fabricant</c:v>
                </c:pt>
                <c:pt idx="2">
                  <c:v>Retrouver les caractéristiques de mon implant en cas d’examen d'imagerie</c:v>
                </c:pt>
                <c:pt idx="3">
                  <c:v> Accéder aux informations de sécurité sur EUDAMED</c:v>
                </c:pt>
                <c:pt idx="4">
                  <c:v>À identifier si vous êtes concerné(e) par une alerte sanitaire de matériovigilance</c:v>
                </c:pt>
                <c:pt idx="5">
                  <c:v>Compléter le formulaire de déclaration de matériovigilance ℹ️ </c:v>
                </c:pt>
              </c:strCache>
            </c:strRef>
          </c:cat>
          <c:val>
            <c:numRef>
              <c:f>'Données patients'!$D$219:$D$224</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CDA2-44F8-8B43-EC66EA542F9E}"/>
            </c:ext>
          </c:extLst>
        </c:ser>
        <c:dLbls>
          <c:showLegendKey val="0"/>
          <c:showVal val="0"/>
          <c:showCatName val="0"/>
          <c:showSerName val="0"/>
          <c:showPercent val="0"/>
          <c:showBubbleSize val="0"/>
        </c:dLbls>
        <c:gapWidth val="150"/>
        <c:overlap val="100"/>
        <c:axId val="101775792"/>
        <c:axId val="101759152"/>
      </c:barChart>
      <c:catAx>
        <c:axId val="10177579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01759152"/>
        <c:crosses val="autoZero"/>
        <c:auto val="1"/>
        <c:lblAlgn val="ctr"/>
        <c:lblOffset val="100"/>
        <c:noMultiLvlLbl val="0"/>
      </c:catAx>
      <c:valAx>
        <c:axId val="10175915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17757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1"/>
          <c:order val="0"/>
          <c:tx>
            <c:strRef>
              <c:f>'Données patients'!$D$218</c:f>
              <c:strCache>
                <c:ptCount val="1"/>
                <c:pt idx="0">
                  <c:v>NON</c:v>
                </c:pt>
              </c:strCache>
            </c:strRef>
          </c:tx>
          <c:spPr>
            <a:solidFill>
              <a:srgbClr val="00BF63"/>
            </a:solidFill>
            <a:ln>
              <a:noFill/>
            </a:ln>
            <a:effectLst/>
          </c:spPr>
          <c:invertIfNegative val="0"/>
          <c:cat>
            <c:strRef>
              <c:f>'Données patients'!$B$225</c:f>
              <c:strCache>
                <c:ptCount val="1"/>
                <c:pt idx="0">
                  <c:v>Je ne sais pas</c:v>
                </c:pt>
              </c:strCache>
            </c:strRef>
          </c:cat>
          <c:val>
            <c:numRef>
              <c:f>'Données patients'!$D$225</c:f>
              <c:numCache>
                <c:formatCode>General</c:formatCode>
                <c:ptCount val="1"/>
                <c:pt idx="0">
                  <c:v>0</c:v>
                </c:pt>
              </c:numCache>
            </c:numRef>
          </c:val>
          <c:extLst>
            <c:ext xmlns:c16="http://schemas.microsoft.com/office/drawing/2014/chart" uri="{C3380CC4-5D6E-409C-BE32-E72D297353CC}">
              <c16:uniqueId val="{00000001-6CCD-4667-843B-7ECEA8EFBE9E}"/>
            </c:ext>
          </c:extLst>
        </c:ser>
        <c:ser>
          <c:idx val="0"/>
          <c:order val="1"/>
          <c:tx>
            <c:strRef>
              <c:f>'Données patients'!$C$218</c:f>
              <c:strCache>
                <c:ptCount val="1"/>
                <c:pt idx="0">
                  <c:v>OUI</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patients'!$B$225</c:f>
              <c:strCache>
                <c:ptCount val="1"/>
                <c:pt idx="0">
                  <c:v>Je ne sais pas</c:v>
                </c:pt>
              </c:strCache>
            </c:strRef>
          </c:cat>
          <c:val>
            <c:numRef>
              <c:f>'Données patients'!$C$225</c:f>
              <c:numCache>
                <c:formatCode>General</c:formatCode>
                <c:ptCount val="1"/>
                <c:pt idx="0">
                  <c:v>30</c:v>
                </c:pt>
              </c:numCache>
            </c:numRef>
          </c:val>
          <c:extLst>
            <c:ext xmlns:c16="http://schemas.microsoft.com/office/drawing/2014/chart" uri="{C3380CC4-5D6E-409C-BE32-E72D297353CC}">
              <c16:uniqueId val="{00000000-6CCD-4667-843B-7ECEA8EFBE9E}"/>
            </c:ext>
          </c:extLst>
        </c:ser>
        <c:dLbls>
          <c:showLegendKey val="0"/>
          <c:showVal val="0"/>
          <c:showCatName val="0"/>
          <c:showSerName val="0"/>
          <c:showPercent val="0"/>
          <c:showBubbleSize val="0"/>
        </c:dLbls>
        <c:gapWidth val="0"/>
        <c:overlap val="100"/>
        <c:axId val="288808960"/>
        <c:axId val="288812704"/>
      </c:barChart>
      <c:catAx>
        <c:axId val="28880896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88812704"/>
        <c:crosses val="autoZero"/>
        <c:auto val="1"/>
        <c:lblAlgn val="ctr"/>
        <c:lblOffset val="100"/>
        <c:noMultiLvlLbl val="0"/>
      </c:catAx>
      <c:valAx>
        <c:axId val="28881270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8880896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'Données patients'!$C$230</c:f>
              <c:strCache>
                <c:ptCount val="1"/>
                <c:pt idx="0">
                  <c:v>Oui</c:v>
                </c:pt>
              </c:strCache>
            </c:strRef>
          </c:tx>
          <c:spPr>
            <a:solidFill>
              <a:srgbClr val="00B050"/>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'Données patients'!$A$231</c:f>
              <c:strCache>
                <c:ptCount val="1"/>
                <c:pt idx="0">
                  <c:v>Satisfaction globale</c:v>
                </c:pt>
              </c:strCache>
            </c:strRef>
          </c:cat>
          <c:val>
            <c:numRef>
              <c:f>'Données patients'!$C$231</c:f>
              <c:numCache>
                <c:formatCode>0</c:formatCode>
                <c:ptCount val="1"/>
                <c:pt idx="0">
                  <c:v>8</c:v>
                </c:pt>
              </c:numCache>
            </c:numRef>
          </c:val>
          <c:extLst>
            <c:ext xmlns:c16="http://schemas.microsoft.com/office/drawing/2014/chart" uri="{C3380CC4-5D6E-409C-BE32-E72D297353CC}">
              <c16:uniqueId val="{00000000-70CC-4E69-88DF-3E6E339A90F9}"/>
            </c:ext>
          </c:extLst>
        </c:ser>
        <c:ser>
          <c:idx val="1"/>
          <c:order val="1"/>
          <c:tx>
            <c:strRef>
              <c:f>'Données patients'!$D$230</c:f>
              <c:strCache>
                <c:ptCount val="1"/>
                <c:pt idx="0">
                  <c:v>Plutôt oui</c:v>
                </c:pt>
              </c:strCache>
            </c:strRef>
          </c:tx>
          <c:spPr>
            <a:solidFill>
              <a:srgbClr val="FFFF00"/>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'Données patients'!$A$231</c:f>
              <c:strCache>
                <c:ptCount val="1"/>
                <c:pt idx="0">
                  <c:v>Satisfaction globale</c:v>
                </c:pt>
              </c:strCache>
            </c:strRef>
          </c:cat>
          <c:val>
            <c:numRef>
              <c:f>'Données patients'!$D$231</c:f>
              <c:numCache>
                <c:formatCode>0</c:formatCode>
                <c:ptCount val="1"/>
                <c:pt idx="0">
                  <c:v>8</c:v>
                </c:pt>
              </c:numCache>
            </c:numRef>
          </c:val>
          <c:extLst>
            <c:ext xmlns:c16="http://schemas.microsoft.com/office/drawing/2014/chart" uri="{C3380CC4-5D6E-409C-BE32-E72D297353CC}">
              <c16:uniqueId val="{00000001-70CC-4E69-88DF-3E6E339A90F9}"/>
            </c:ext>
          </c:extLst>
        </c:ser>
        <c:ser>
          <c:idx val="2"/>
          <c:order val="2"/>
          <c:tx>
            <c:strRef>
              <c:f>'Données patients'!$E$230</c:f>
              <c:strCache>
                <c:ptCount val="1"/>
                <c:pt idx="0">
                  <c:v>Plutôt non</c:v>
                </c:pt>
              </c:strCache>
            </c:strRef>
          </c:tx>
          <c:spPr>
            <a:solidFill>
              <a:srgbClr val="FFC000"/>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'Données patients'!$A$231</c:f>
              <c:strCache>
                <c:ptCount val="1"/>
                <c:pt idx="0">
                  <c:v>Satisfaction globale</c:v>
                </c:pt>
              </c:strCache>
            </c:strRef>
          </c:cat>
          <c:val>
            <c:numRef>
              <c:f>'Données patients'!$E$231</c:f>
              <c:numCache>
                <c:formatCode>0</c:formatCode>
                <c:ptCount val="1"/>
                <c:pt idx="0">
                  <c:v>7</c:v>
                </c:pt>
              </c:numCache>
            </c:numRef>
          </c:val>
          <c:extLst>
            <c:ext xmlns:c16="http://schemas.microsoft.com/office/drawing/2014/chart" uri="{C3380CC4-5D6E-409C-BE32-E72D297353CC}">
              <c16:uniqueId val="{00000002-70CC-4E69-88DF-3E6E339A90F9}"/>
            </c:ext>
          </c:extLst>
        </c:ser>
        <c:ser>
          <c:idx val="3"/>
          <c:order val="3"/>
          <c:tx>
            <c:strRef>
              <c:f>'Données patients'!$F$230</c:f>
              <c:strCache>
                <c:ptCount val="1"/>
                <c:pt idx="0">
                  <c:v>Non</c:v>
                </c:pt>
              </c:strCache>
            </c:strRef>
          </c:tx>
          <c:spPr>
            <a:solidFill>
              <a:srgbClr val="FF0000"/>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'Données patients'!$A$231</c:f>
              <c:strCache>
                <c:ptCount val="1"/>
                <c:pt idx="0">
                  <c:v>Satisfaction globale</c:v>
                </c:pt>
              </c:strCache>
            </c:strRef>
          </c:cat>
          <c:val>
            <c:numRef>
              <c:f>'Données patients'!$F$231</c:f>
              <c:numCache>
                <c:formatCode>0</c:formatCode>
                <c:ptCount val="1"/>
                <c:pt idx="0">
                  <c:v>7</c:v>
                </c:pt>
              </c:numCache>
            </c:numRef>
          </c:val>
          <c:extLst>
            <c:ext xmlns:c16="http://schemas.microsoft.com/office/drawing/2014/chart" uri="{C3380CC4-5D6E-409C-BE32-E72D297353CC}">
              <c16:uniqueId val="{00000003-70CC-4E69-88DF-3E6E339A90F9}"/>
            </c:ext>
          </c:extLst>
        </c:ser>
        <c:dLbls>
          <c:dLblPos val="ctr"/>
          <c:showLegendKey val="0"/>
          <c:showVal val="1"/>
          <c:showCatName val="0"/>
          <c:showSerName val="0"/>
          <c:showPercent val="0"/>
          <c:showBubbleSize val="0"/>
        </c:dLbls>
        <c:gapWidth val="50"/>
        <c:overlap val="100"/>
        <c:axId val="1705224127"/>
        <c:axId val="1705224607"/>
      </c:barChart>
      <c:catAx>
        <c:axId val="1705224127"/>
        <c:scaling>
          <c:orientation val="minMax"/>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705224607"/>
        <c:crosses val="autoZero"/>
        <c:auto val="1"/>
        <c:lblAlgn val="ctr"/>
        <c:lblOffset val="100"/>
        <c:noMultiLvlLbl val="0"/>
      </c:catAx>
      <c:valAx>
        <c:axId val="1705224607"/>
        <c:scaling>
          <c:orientation val="minMax"/>
        </c:scaling>
        <c:delete val="0"/>
        <c:axPos val="b"/>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70522412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1"/>
          <c:order val="0"/>
          <c:tx>
            <c:strRef>
              <c:f>'Données patients'!$A$235</c:f>
              <c:strCache>
                <c:ptCount val="1"/>
                <c:pt idx="0">
                  <c:v>Souhait d'information(s) complémentaire(s)</c:v>
                </c:pt>
              </c:strCache>
            </c:strRef>
          </c:tx>
          <c:dPt>
            <c:idx val="0"/>
            <c:bubble3D val="0"/>
            <c:spPr>
              <a:solidFill>
                <a:srgbClr val="00BF63"/>
              </a:solidFill>
              <a:ln w="25400">
                <a:solidFill>
                  <a:schemeClr val="lt1"/>
                </a:solidFill>
              </a:ln>
              <a:effectLst/>
              <a:sp3d contourW="25400">
                <a:contourClr>
                  <a:schemeClr val="lt1"/>
                </a:contourClr>
              </a:sp3d>
            </c:spPr>
            <c:extLst>
              <c:ext xmlns:c16="http://schemas.microsoft.com/office/drawing/2014/chart" uri="{C3380CC4-5D6E-409C-BE32-E72D297353CC}">
                <c16:uniqueId val="{00000003-7339-4EDF-8DAF-87B8B4DD9D47}"/>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C676-4930-8CF8-DA3001A8073C}"/>
              </c:ext>
            </c:extLst>
          </c:dPt>
          <c:dLbls>
            <c:numFmt formatCode="\ 0%\ ;\-0%;;\ @"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'Données patients'!$C$234:$D$234</c:f>
              <c:strCache>
                <c:ptCount val="2"/>
                <c:pt idx="0">
                  <c:v>OUI</c:v>
                </c:pt>
                <c:pt idx="1">
                  <c:v>NON</c:v>
                </c:pt>
              </c:strCache>
            </c:strRef>
          </c:cat>
          <c:val>
            <c:numRef>
              <c:f>'Données patients'!$C$235:$D$235</c:f>
              <c:numCache>
                <c:formatCode>0</c:formatCode>
                <c:ptCount val="2"/>
                <c:pt idx="0">
                  <c:v>15</c:v>
                </c:pt>
                <c:pt idx="1">
                  <c:v>15</c:v>
                </c:pt>
              </c:numCache>
            </c:numRef>
          </c:val>
          <c:extLst>
            <c:ext xmlns:c16="http://schemas.microsoft.com/office/drawing/2014/chart" uri="{C3380CC4-5D6E-409C-BE32-E72D297353CC}">
              <c16:uniqueId val="{00000001-7339-4EDF-8DAF-87B8B4DD9D47}"/>
            </c:ext>
          </c:extLst>
        </c:ser>
        <c:dLbls>
          <c:dLblPos val="ctr"/>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1"/>
          <c:order val="0"/>
          <c:tx>
            <c:strRef>
              <c:f>'Données patients'!$A$236</c:f>
              <c:strCache>
                <c:ptCount val="1"/>
                <c:pt idx="0">
                  <c:v>Suggestions d’amélioration</c:v>
                </c:pt>
              </c:strCache>
            </c:strRef>
          </c:tx>
          <c:dPt>
            <c:idx val="0"/>
            <c:bubble3D val="0"/>
            <c:spPr>
              <a:solidFill>
                <a:srgbClr val="00BF63"/>
              </a:solidFill>
              <a:ln w="25400">
                <a:solidFill>
                  <a:schemeClr val="lt1"/>
                </a:solidFill>
              </a:ln>
              <a:effectLst/>
              <a:sp3d contourW="25400">
                <a:contourClr>
                  <a:schemeClr val="lt1"/>
                </a:contourClr>
              </a:sp3d>
            </c:spPr>
            <c:extLst>
              <c:ext xmlns:c16="http://schemas.microsoft.com/office/drawing/2014/chart" uri="{C3380CC4-5D6E-409C-BE32-E72D297353CC}">
                <c16:uniqueId val="{00000003-217C-4D04-AFD4-468AAD0AA0B3}"/>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2409-42CB-B2A1-26E553709613}"/>
              </c:ext>
            </c:extLst>
          </c:dPt>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'Données patients'!$C$234:$D$234</c:f>
              <c:strCache>
                <c:ptCount val="2"/>
                <c:pt idx="0">
                  <c:v>OUI</c:v>
                </c:pt>
                <c:pt idx="1">
                  <c:v>NON</c:v>
                </c:pt>
              </c:strCache>
            </c:strRef>
          </c:cat>
          <c:val>
            <c:numRef>
              <c:f>'Données patients'!$C$236:$D$236</c:f>
              <c:numCache>
                <c:formatCode>0</c:formatCode>
                <c:ptCount val="2"/>
                <c:pt idx="0">
                  <c:v>15</c:v>
                </c:pt>
                <c:pt idx="1">
                  <c:v>15</c:v>
                </c:pt>
              </c:numCache>
            </c:numRef>
          </c:val>
          <c:extLst>
            <c:ext xmlns:c16="http://schemas.microsoft.com/office/drawing/2014/chart" uri="{C3380CC4-5D6E-409C-BE32-E72D297353CC}">
              <c16:uniqueId val="{00000001-217C-4D04-AFD4-468AAD0AA0B3}"/>
            </c:ext>
          </c:extLst>
        </c:ser>
        <c:dLbls>
          <c:dLblPos val="ctr"/>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31768595710616931"/>
          <c:y val="0.13170440000355638"/>
          <c:w val="0.37508117932337326"/>
          <c:h val="0.8140968349946186"/>
        </c:manualLayout>
      </c:layout>
      <c:radarChart>
        <c:radarStyle val="marker"/>
        <c:varyColors val="0"/>
        <c:ser>
          <c:idx val="0"/>
          <c:order val="0"/>
          <c:spPr>
            <a:ln>
              <a:solidFill>
                <a:srgbClr val="00BF63"/>
              </a:solidFill>
            </a:ln>
          </c:spPr>
          <c:marker>
            <c:spPr>
              <a:solidFill>
                <a:srgbClr val="034EA2"/>
              </a:solidFill>
              <a:ln>
                <a:solidFill>
                  <a:srgbClr val="8DC63F"/>
                </a:solidFill>
              </a:ln>
            </c:spPr>
          </c:marker>
          <c:cat>
            <c:strRef>
              <c:f>'Données SI ES'!$C$40:$C$44</c:f>
              <c:strCache>
                <c:ptCount val="5"/>
                <c:pt idx="0">
                  <c:v>Traçabilité par la PUI</c:v>
                </c:pt>
                <c:pt idx="1">
                  <c:v>Traçabilité par le service utilisateur</c:v>
                </c:pt>
                <c:pt idx="2">
                  <c:v>Traçabilité au sein de l'établissement</c:v>
                </c:pt>
                <c:pt idx="3">
                  <c:v>Traçabilité de l'information patient dans le dossier patient informatisé</c:v>
                </c:pt>
                <c:pt idx="4">
                  <c:v>Traçabilité de l'information patient dans la lettre de liaison</c:v>
                </c:pt>
              </c:strCache>
            </c:strRef>
          </c:cat>
          <c:val>
            <c:numRef>
              <c:f>'Données SI ES'!$I$40:$I$44</c:f>
              <c:numCache>
                <c:formatCode>0%</c:formatCode>
                <c:ptCount val="5"/>
                <c:pt idx="0">
                  <c:v>0</c:v>
                </c:pt>
                <c:pt idx="1">
                  <c:v>0</c:v>
                </c:pt>
                <c:pt idx="2">
                  <c:v>0</c:v>
                </c:pt>
                <c:pt idx="3">
                  <c:v>0.47058823529411764</c:v>
                </c:pt>
                <c:pt idx="4">
                  <c:v>5.5555555555555573E-2</c:v>
                </c:pt>
              </c:numCache>
            </c:numRef>
          </c:val>
          <c:extLst>
            <c:ext xmlns:c16="http://schemas.microsoft.com/office/drawing/2014/chart" uri="{C3380CC4-5D6E-409C-BE32-E72D297353CC}">
              <c16:uniqueId val="{00000000-9C93-4078-8272-64B56A15CFF4}"/>
            </c:ext>
          </c:extLst>
        </c:ser>
        <c:dLbls>
          <c:showLegendKey val="0"/>
          <c:showVal val="0"/>
          <c:showCatName val="0"/>
          <c:showSerName val="0"/>
          <c:showPercent val="0"/>
          <c:showBubbleSize val="0"/>
        </c:dLbls>
        <c:axId val="48870144"/>
        <c:axId val="48872064"/>
      </c:radarChart>
      <c:catAx>
        <c:axId val="48870144"/>
        <c:scaling>
          <c:orientation val="minMax"/>
        </c:scaling>
        <c:delete val="0"/>
        <c:axPos val="b"/>
        <c:majorGridlines/>
        <c:numFmt formatCode="General" sourceLinked="0"/>
        <c:majorTickMark val="none"/>
        <c:minorTickMark val="none"/>
        <c:tickLblPos val="nextTo"/>
        <c:crossAx val="48872064"/>
        <c:crosses val="autoZero"/>
        <c:auto val="1"/>
        <c:lblAlgn val="ctr"/>
        <c:lblOffset val="100"/>
        <c:noMultiLvlLbl val="0"/>
      </c:catAx>
      <c:valAx>
        <c:axId val="48872064"/>
        <c:scaling>
          <c:orientation val="minMax"/>
        </c:scaling>
        <c:delete val="0"/>
        <c:axPos val="l"/>
        <c:majorGridlines/>
        <c:numFmt formatCode="0%" sourceLinked="1"/>
        <c:majorTickMark val="out"/>
        <c:minorTickMark val="none"/>
        <c:tickLblPos val="nextTo"/>
        <c:crossAx val="48870144"/>
        <c:crosses val="autoZero"/>
        <c:crossBetween val="between"/>
      </c:valAx>
    </c:plotArea>
    <c:plotVisOnly val="1"/>
    <c:dispBlanksAs val="gap"/>
    <c:showDLblsOverMax val="0"/>
  </c:chart>
  <c:spPr>
    <a:ln>
      <a:solidFill>
        <a:srgbClr val="034EA2"/>
      </a:solidFill>
    </a:ln>
  </c:spPr>
  <c:txPr>
    <a:bodyPr/>
    <a:lstStyle/>
    <a:p>
      <a:pPr>
        <a:defRPr>
          <a:solidFill>
            <a:srgbClr val="034EA2"/>
          </a:solidFill>
        </a:defRPr>
      </a:pPr>
      <a:endParaRPr lang="fr-FR"/>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31768595710616931"/>
          <c:y val="0.13170440000355638"/>
          <c:w val="0.37508117932337326"/>
          <c:h val="0.8140968349946186"/>
        </c:manualLayout>
      </c:layout>
      <c:radarChart>
        <c:radarStyle val="marker"/>
        <c:varyColors val="0"/>
        <c:ser>
          <c:idx val="0"/>
          <c:order val="0"/>
          <c:marker>
            <c:spPr>
              <a:solidFill>
                <a:srgbClr val="034EA2"/>
              </a:solidFill>
            </c:spPr>
          </c:marker>
          <c:cat>
            <c:strRef>
              <c:f>'Données SI ES'!$C$10:$C$18</c:f>
              <c:strCache>
                <c:ptCount val="9"/>
                <c:pt idx="0">
                  <c:v>PUI - Date de réception du DMI</c:v>
                </c:pt>
                <c:pt idx="1">
                  <c:v>PUI - Identifiant unique de dispositif (IUD)</c:v>
                </c:pt>
                <c:pt idx="2">
                  <c:v>PUI - Identification de chaque DMI : dénomination</c:v>
                </c:pt>
                <c:pt idx="3">
                  <c:v>PUI - Identification de chaque DMI : numéro de série ou de lot</c:v>
                </c:pt>
                <c:pt idx="4">
                  <c:v>PUI - Identification de chaque DMI : nom du fabricant ou de son mandataire</c:v>
                </c:pt>
                <c:pt idx="5">
                  <c:v>PUI - Identification de chaque DMI : dimensions cliniques</c:v>
                </c:pt>
                <c:pt idx="6">
                  <c:v>PUI - Identification de chaque DMI : date d'expiration</c:v>
                </c:pt>
                <c:pt idx="7">
                  <c:v>PUI - Date de délivrance du DMI au service utilisateur et quantité délivrée</c:v>
                </c:pt>
                <c:pt idx="8">
                  <c:v>PUI - Identification du service utilisateur</c:v>
                </c:pt>
              </c:strCache>
            </c:strRef>
          </c:cat>
          <c:val>
            <c:numRef>
              <c:f>'Données SI ES'!$D$10:$D$18</c:f>
              <c:numCache>
                <c:formatCode>General</c:formatCode>
                <c:ptCount val="9"/>
              </c:numCache>
            </c:numRef>
          </c:val>
          <c:extLst>
            <c:ext xmlns:c16="http://schemas.microsoft.com/office/drawing/2014/chart" uri="{C3380CC4-5D6E-409C-BE32-E72D297353CC}">
              <c16:uniqueId val="{00000000-AC65-4257-8A4A-353A1EC7C704}"/>
            </c:ext>
          </c:extLst>
        </c:ser>
        <c:ser>
          <c:idx val="1"/>
          <c:order val="1"/>
          <c:cat>
            <c:strRef>
              <c:f>'Données SI ES'!$C$10:$C$18</c:f>
              <c:strCache>
                <c:ptCount val="9"/>
                <c:pt idx="0">
                  <c:v>PUI - Date de réception du DMI</c:v>
                </c:pt>
                <c:pt idx="1">
                  <c:v>PUI - Identifiant unique de dispositif (IUD)</c:v>
                </c:pt>
                <c:pt idx="2">
                  <c:v>PUI - Identification de chaque DMI : dénomination</c:v>
                </c:pt>
                <c:pt idx="3">
                  <c:v>PUI - Identification de chaque DMI : numéro de série ou de lot</c:v>
                </c:pt>
                <c:pt idx="4">
                  <c:v>PUI - Identification de chaque DMI : nom du fabricant ou de son mandataire</c:v>
                </c:pt>
                <c:pt idx="5">
                  <c:v>PUI - Identification de chaque DMI : dimensions cliniques</c:v>
                </c:pt>
                <c:pt idx="6">
                  <c:v>PUI - Identification de chaque DMI : date d'expiration</c:v>
                </c:pt>
                <c:pt idx="7">
                  <c:v>PUI - Date de délivrance du DMI au service utilisateur et quantité délivrée</c:v>
                </c:pt>
                <c:pt idx="8">
                  <c:v>PUI - Identification du service utilisateur</c:v>
                </c:pt>
              </c:strCache>
            </c:strRef>
          </c:cat>
          <c:val>
            <c:numRef>
              <c:f>'Données SI ES'!$E$10:$E$18</c:f>
              <c:numCache>
                <c:formatCode>General</c:formatCode>
                <c:ptCount val="9"/>
              </c:numCache>
            </c:numRef>
          </c:val>
          <c:extLst>
            <c:ext xmlns:c16="http://schemas.microsoft.com/office/drawing/2014/chart" uri="{C3380CC4-5D6E-409C-BE32-E72D297353CC}">
              <c16:uniqueId val="{00000001-AC65-4257-8A4A-353A1EC7C704}"/>
            </c:ext>
          </c:extLst>
        </c:ser>
        <c:ser>
          <c:idx val="2"/>
          <c:order val="2"/>
          <c:spPr>
            <a:ln>
              <a:solidFill>
                <a:srgbClr val="00BF63"/>
              </a:solidFill>
            </a:ln>
          </c:spPr>
          <c:marker>
            <c:spPr>
              <a:solidFill>
                <a:srgbClr val="034EA2"/>
              </a:solidFill>
              <a:ln>
                <a:solidFill>
                  <a:srgbClr val="8DC63F"/>
                </a:solidFill>
              </a:ln>
            </c:spPr>
          </c:marker>
          <c:cat>
            <c:strRef>
              <c:f>'Données SI ES'!$C$10:$C$18</c:f>
              <c:strCache>
                <c:ptCount val="9"/>
                <c:pt idx="0">
                  <c:v>PUI - Date de réception du DMI</c:v>
                </c:pt>
                <c:pt idx="1">
                  <c:v>PUI - Identifiant unique de dispositif (IUD)</c:v>
                </c:pt>
                <c:pt idx="2">
                  <c:v>PUI - Identification de chaque DMI : dénomination</c:v>
                </c:pt>
                <c:pt idx="3">
                  <c:v>PUI - Identification de chaque DMI : numéro de série ou de lot</c:v>
                </c:pt>
                <c:pt idx="4">
                  <c:v>PUI - Identification de chaque DMI : nom du fabricant ou de son mandataire</c:v>
                </c:pt>
                <c:pt idx="5">
                  <c:v>PUI - Identification de chaque DMI : dimensions cliniques</c:v>
                </c:pt>
                <c:pt idx="6">
                  <c:v>PUI - Identification de chaque DMI : date d'expiration</c:v>
                </c:pt>
                <c:pt idx="7">
                  <c:v>PUI - Date de délivrance du DMI au service utilisateur et quantité délivrée</c:v>
                </c:pt>
                <c:pt idx="8">
                  <c:v>PUI - Identification du service utilisateur</c:v>
                </c:pt>
              </c:strCache>
            </c:strRef>
          </c:cat>
          <c:val>
            <c:numRef>
              <c:f>'Données SI ES'!$I$10:$I$18</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AC65-4257-8A4A-353A1EC7C704}"/>
            </c:ext>
          </c:extLst>
        </c:ser>
        <c:dLbls>
          <c:showLegendKey val="0"/>
          <c:showVal val="0"/>
          <c:showCatName val="0"/>
          <c:showSerName val="0"/>
          <c:showPercent val="0"/>
          <c:showBubbleSize val="0"/>
        </c:dLbls>
        <c:axId val="48870144"/>
        <c:axId val="48872064"/>
      </c:radarChart>
      <c:catAx>
        <c:axId val="48870144"/>
        <c:scaling>
          <c:orientation val="minMax"/>
        </c:scaling>
        <c:delete val="0"/>
        <c:axPos val="b"/>
        <c:majorGridlines/>
        <c:numFmt formatCode="General" sourceLinked="0"/>
        <c:majorTickMark val="none"/>
        <c:minorTickMark val="none"/>
        <c:tickLblPos val="nextTo"/>
        <c:crossAx val="48872064"/>
        <c:crosses val="autoZero"/>
        <c:auto val="1"/>
        <c:lblAlgn val="ctr"/>
        <c:lblOffset val="100"/>
        <c:noMultiLvlLbl val="0"/>
      </c:catAx>
      <c:valAx>
        <c:axId val="48872064"/>
        <c:scaling>
          <c:orientation val="minMax"/>
        </c:scaling>
        <c:delete val="0"/>
        <c:axPos val="l"/>
        <c:majorGridlines/>
        <c:numFmt formatCode="General" sourceLinked="1"/>
        <c:majorTickMark val="out"/>
        <c:minorTickMark val="none"/>
        <c:tickLblPos val="nextTo"/>
        <c:crossAx val="48870144"/>
        <c:crosses val="autoZero"/>
        <c:crossBetween val="between"/>
      </c:valAx>
    </c:plotArea>
    <c:plotVisOnly val="1"/>
    <c:dispBlanksAs val="gap"/>
    <c:showDLblsOverMax val="0"/>
  </c:chart>
  <c:spPr>
    <a:ln>
      <a:solidFill>
        <a:srgbClr val="034EA2"/>
      </a:solidFill>
    </a:ln>
  </c:spPr>
  <c:txPr>
    <a:bodyPr/>
    <a:lstStyle/>
    <a:p>
      <a:pPr>
        <a:defRPr>
          <a:solidFill>
            <a:srgbClr val="034EA2"/>
          </a:solidFill>
        </a:defRPr>
      </a:pPr>
      <a:endParaRPr lang="fr-FR"/>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31768595710616931"/>
          <c:y val="0.13170440000355638"/>
          <c:w val="0.37508117932337326"/>
          <c:h val="0.8140968349946186"/>
        </c:manualLayout>
      </c:layout>
      <c:radarChart>
        <c:radarStyle val="marker"/>
        <c:varyColors val="0"/>
        <c:ser>
          <c:idx val="0"/>
          <c:order val="0"/>
          <c:marker>
            <c:spPr>
              <a:solidFill>
                <a:srgbClr val="034EA2"/>
              </a:solidFill>
            </c:spPr>
          </c:marker>
          <c:cat>
            <c:strRef>
              <c:f>'Données SI ES'!$C$19:$C$24</c:f>
              <c:strCache>
                <c:ptCount val="6"/>
                <c:pt idx="0">
                  <c:v>Service - Date de réception du DMI</c:v>
                </c:pt>
                <c:pt idx="1">
                  <c:v>Service - Date d’utilisation du DMI</c:v>
                </c:pt>
                <c:pt idx="2">
                  <c:v>Service - Identification du patient : sexe, nom et prénom</c:v>
                </c:pt>
                <c:pt idx="3">
                  <c:v>Service - Identification du patient : date de naissance</c:v>
                </c:pt>
                <c:pt idx="4">
                  <c:v>Service - Identification du professionnel de santé utilisateur : nom et prénom</c:v>
                </c:pt>
                <c:pt idx="5">
                  <c:v>Service - Identification du professionnel de santé utilisateur : RPPS</c:v>
                </c:pt>
              </c:strCache>
            </c:strRef>
          </c:cat>
          <c:val>
            <c:numRef>
              <c:f>'Données SI ES'!$D$19:$D$24</c:f>
              <c:numCache>
                <c:formatCode>General</c:formatCode>
                <c:ptCount val="6"/>
              </c:numCache>
            </c:numRef>
          </c:val>
          <c:extLst>
            <c:ext xmlns:c16="http://schemas.microsoft.com/office/drawing/2014/chart" uri="{C3380CC4-5D6E-409C-BE32-E72D297353CC}">
              <c16:uniqueId val="{00000000-3B88-403E-9552-F42A4FD289A8}"/>
            </c:ext>
          </c:extLst>
        </c:ser>
        <c:ser>
          <c:idx val="1"/>
          <c:order val="1"/>
          <c:cat>
            <c:strRef>
              <c:f>'Données SI ES'!$C$19:$C$24</c:f>
              <c:strCache>
                <c:ptCount val="6"/>
                <c:pt idx="0">
                  <c:v>Service - Date de réception du DMI</c:v>
                </c:pt>
                <c:pt idx="1">
                  <c:v>Service - Date d’utilisation du DMI</c:v>
                </c:pt>
                <c:pt idx="2">
                  <c:v>Service - Identification du patient : sexe, nom et prénom</c:v>
                </c:pt>
                <c:pt idx="3">
                  <c:v>Service - Identification du patient : date de naissance</c:v>
                </c:pt>
                <c:pt idx="4">
                  <c:v>Service - Identification du professionnel de santé utilisateur : nom et prénom</c:v>
                </c:pt>
                <c:pt idx="5">
                  <c:v>Service - Identification du professionnel de santé utilisateur : RPPS</c:v>
                </c:pt>
              </c:strCache>
            </c:strRef>
          </c:cat>
          <c:val>
            <c:numRef>
              <c:f>'Données SI ES'!$E$19:$E$24</c:f>
              <c:numCache>
                <c:formatCode>General</c:formatCode>
                <c:ptCount val="6"/>
              </c:numCache>
            </c:numRef>
          </c:val>
          <c:extLst>
            <c:ext xmlns:c16="http://schemas.microsoft.com/office/drawing/2014/chart" uri="{C3380CC4-5D6E-409C-BE32-E72D297353CC}">
              <c16:uniqueId val="{00000001-3B88-403E-9552-F42A4FD289A8}"/>
            </c:ext>
          </c:extLst>
        </c:ser>
        <c:ser>
          <c:idx val="2"/>
          <c:order val="2"/>
          <c:spPr>
            <a:ln>
              <a:solidFill>
                <a:srgbClr val="00BF63"/>
              </a:solidFill>
            </a:ln>
          </c:spPr>
          <c:marker>
            <c:spPr>
              <a:solidFill>
                <a:srgbClr val="034EA2"/>
              </a:solidFill>
              <a:ln>
                <a:solidFill>
                  <a:srgbClr val="8DC63F"/>
                </a:solidFill>
              </a:ln>
            </c:spPr>
          </c:marker>
          <c:cat>
            <c:strRef>
              <c:f>'Données SI ES'!$C$19:$C$24</c:f>
              <c:strCache>
                <c:ptCount val="6"/>
                <c:pt idx="0">
                  <c:v>Service - Date de réception du DMI</c:v>
                </c:pt>
                <c:pt idx="1">
                  <c:v>Service - Date d’utilisation du DMI</c:v>
                </c:pt>
                <c:pt idx="2">
                  <c:v>Service - Identification du patient : sexe, nom et prénom</c:v>
                </c:pt>
                <c:pt idx="3">
                  <c:v>Service - Identification du patient : date de naissance</c:v>
                </c:pt>
                <c:pt idx="4">
                  <c:v>Service - Identification du professionnel de santé utilisateur : nom et prénom</c:v>
                </c:pt>
                <c:pt idx="5">
                  <c:v>Service - Identification du professionnel de santé utilisateur : RPPS</c:v>
                </c:pt>
              </c:strCache>
            </c:strRef>
          </c:cat>
          <c:val>
            <c:numRef>
              <c:f>'Données SI ES'!$I$19:$I$24</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3B88-403E-9552-F42A4FD289A8}"/>
            </c:ext>
          </c:extLst>
        </c:ser>
        <c:dLbls>
          <c:showLegendKey val="0"/>
          <c:showVal val="0"/>
          <c:showCatName val="0"/>
          <c:showSerName val="0"/>
          <c:showPercent val="0"/>
          <c:showBubbleSize val="0"/>
        </c:dLbls>
        <c:axId val="48870144"/>
        <c:axId val="48872064"/>
      </c:radarChart>
      <c:catAx>
        <c:axId val="48870144"/>
        <c:scaling>
          <c:orientation val="minMax"/>
        </c:scaling>
        <c:delete val="0"/>
        <c:axPos val="b"/>
        <c:majorGridlines/>
        <c:numFmt formatCode="General" sourceLinked="0"/>
        <c:majorTickMark val="none"/>
        <c:minorTickMark val="none"/>
        <c:tickLblPos val="nextTo"/>
        <c:txPr>
          <a:bodyPr/>
          <a:lstStyle/>
          <a:p>
            <a:pPr>
              <a:defRPr sz="900"/>
            </a:pPr>
            <a:endParaRPr lang="fr-FR"/>
          </a:p>
        </c:txPr>
        <c:crossAx val="48872064"/>
        <c:crosses val="autoZero"/>
        <c:auto val="1"/>
        <c:lblAlgn val="ctr"/>
        <c:lblOffset val="100"/>
        <c:noMultiLvlLbl val="0"/>
      </c:catAx>
      <c:valAx>
        <c:axId val="48872064"/>
        <c:scaling>
          <c:orientation val="minMax"/>
        </c:scaling>
        <c:delete val="0"/>
        <c:axPos val="l"/>
        <c:majorGridlines/>
        <c:numFmt formatCode="General" sourceLinked="1"/>
        <c:majorTickMark val="out"/>
        <c:minorTickMark val="none"/>
        <c:tickLblPos val="nextTo"/>
        <c:crossAx val="48870144"/>
        <c:crosses val="autoZero"/>
        <c:crossBetween val="between"/>
      </c:valAx>
    </c:plotArea>
    <c:plotVisOnly val="1"/>
    <c:dispBlanksAs val="gap"/>
    <c:showDLblsOverMax val="0"/>
  </c:chart>
  <c:spPr>
    <a:ln>
      <a:solidFill>
        <a:srgbClr val="034EA2"/>
      </a:solidFill>
    </a:ln>
  </c:spPr>
  <c:txPr>
    <a:bodyPr/>
    <a:lstStyle/>
    <a:p>
      <a:pPr>
        <a:defRPr>
          <a:solidFill>
            <a:srgbClr val="034EA2"/>
          </a:solidFill>
        </a:defRPr>
      </a:pPr>
      <a:endParaRPr lang="fr-FR"/>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31768595710616931"/>
          <c:y val="0.13170440000355638"/>
          <c:w val="0.37508117932337326"/>
          <c:h val="0.8140968349946186"/>
        </c:manualLayout>
      </c:layout>
      <c:radarChart>
        <c:radarStyle val="marker"/>
        <c:varyColors val="0"/>
        <c:ser>
          <c:idx val="0"/>
          <c:order val="0"/>
          <c:marker>
            <c:spPr>
              <a:solidFill>
                <a:srgbClr val="034EA2"/>
              </a:solidFill>
            </c:spPr>
          </c:marker>
          <c:cat>
            <c:strRef>
              <c:f>'Données SI ES'!$C$25:$C$33</c:f>
              <c:strCache>
                <c:ptCount val="9"/>
                <c:pt idx="0">
                  <c:v>Identifiant unique des dispositifs (IUD)</c:v>
                </c:pt>
                <c:pt idx="1">
                  <c:v>Identification du DMI : dénomination</c:v>
                </c:pt>
                <c:pt idx="2">
                  <c:v>Identification du DMI : numéro de série ou de lot</c:v>
                </c:pt>
                <c:pt idx="3">
                  <c:v>Identification du DMI : nom du fabricant ou de son mandataire</c:v>
                </c:pt>
                <c:pt idx="4">
                  <c:v>Date et lieu d’utilisation (service/ETS)</c:v>
                </c:pt>
                <c:pt idx="5">
                  <c:v>Identification du professionnel de santé utilisateur : nom et prénom</c:v>
                </c:pt>
                <c:pt idx="6">
                  <c:v>Durée de vie prévue du dispositif et suivi éventuel</c:v>
                </c:pt>
                <c:pt idx="7">
                  <c:v>Mises en garde, précautions ou mesures à prendre par le patient ou le professionnel de santé</c:v>
                </c:pt>
                <c:pt idx="8">
                  <c:v>Carte d'implant</c:v>
                </c:pt>
              </c:strCache>
            </c:strRef>
          </c:cat>
          <c:val>
            <c:numRef>
              <c:f>'Données SI ES'!$D$25:$D$33</c:f>
              <c:numCache>
                <c:formatCode>General</c:formatCode>
                <c:ptCount val="9"/>
              </c:numCache>
            </c:numRef>
          </c:val>
          <c:extLst>
            <c:ext xmlns:c16="http://schemas.microsoft.com/office/drawing/2014/chart" uri="{C3380CC4-5D6E-409C-BE32-E72D297353CC}">
              <c16:uniqueId val="{00000000-5947-4D95-ACB3-CE0BA01486AA}"/>
            </c:ext>
          </c:extLst>
        </c:ser>
        <c:ser>
          <c:idx val="1"/>
          <c:order val="1"/>
          <c:cat>
            <c:strRef>
              <c:f>'Données SI ES'!$C$25:$C$33</c:f>
              <c:strCache>
                <c:ptCount val="9"/>
                <c:pt idx="0">
                  <c:v>Identifiant unique des dispositifs (IUD)</c:v>
                </c:pt>
                <c:pt idx="1">
                  <c:v>Identification du DMI : dénomination</c:v>
                </c:pt>
                <c:pt idx="2">
                  <c:v>Identification du DMI : numéro de série ou de lot</c:v>
                </c:pt>
                <c:pt idx="3">
                  <c:v>Identification du DMI : nom du fabricant ou de son mandataire</c:v>
                </c:pt>
                <c:pt idx="4">
                  <c:v>Date et lieu d’utilisation (service/ETS)</c:v>
                </c:pt>
                <c:pt idx="5">
                  <c:v>Identification du professionnel de santé utilisateur : nom et prénom</c:v>
                </c:pt>
                <c:pt idx="6">
                  <c:v>Durée de vie prévue du dispositif et suivi éventuel</c:v>
                </c:pt>
                <c:pt idx="7">
                  <c:v>Mises en garde, précautions ou mesures à prendre par le patient ou le professionnel de santé</c:v>
                </c:pt>
                <c:pt idx="8">
                  <c:v>Carte d'implant</c:v>
                </c:pt>
              </c:strCache>
            </c:strRef>
          </c:cat>
          <c:val>
            <c:numRef>
              <c:f>'Données SI ES'!$E$25:$E$33</c:f>
              <c:numCache>
                <c:formatCode>General</c:formatCode>
                <c:ptCount val="9"/>
              </c:numCache>
            </c:numRef>
          </c:val>
          <c:extLst>
            <c:ext xmlns:c16="http://schemas.microsoft.com/office/drawing/2014/chart" uri="{C3380CC4-5D6E-409C-BE32-E72D297353CC}">
              <c16:uniqueId val="{00000001-5947-4D95-ACB3-CE0BA01486AA}"/>
            </c:ext>
          </c:extLst>
        </c:ser>
        <c:ser>
          <c:idx val="2"/>
          <c:order val="2"/>
          <c:spPr>
            <a:ln>
              <a:solidFill>
                <a:srgbClr val="00BF63"/>
              </a:solidFill>
            </a:ln>
          </c:spPr>
          <c:marker>
            <c:spPr>
              <a:solidFill>
                <a:srgbClr val="034EA2"/>
              </a:solidFill>
              <a:ln>
                <a:solidFill>
                  <a:srgbClr val="8DC63F"/>
                </a:solidFill>
              </a:ln>
            </c:spPr>
          </c:marker>
          <c:cat>
            <c:strRef>
              <c:f>'Données SI ES'!$C$25:$C$33</c:f>
              <c:strCache>
                <c:ptCount val="9"/>
                <c:pt idx="0">
                  <c:v>Identifiant unique des dispositifs (IUD)</c:v>
                </c:pt>
                <c:pt idx="1">
                  <c:v>Identification du DMI : dénomination</c:v>
                </c:pt>
                <c:pt idx="2">
                  <c:v>Identification du DMI : numéro de série ou de lot</c:v>
                </c:pt>
                <c:pt idx="3">
                  <c:v>Identification du DMI : nom du fabricant ou de son mandataire</c:v>
                </c:pt>
                <c:pt idx="4">
                  <c:v>Date et lieu d’utilisation (service/ETS)</c:v>
                </c:pt>
                <c:pt idx="5">
                  <c:v>Identification du professionnel de santé utilisateur : nom et prénom</c:v>
                </c:pt>
                <c:pt idx="6">
                  <c:v>Durée de vie prévue du dispositif et suivi éventuel</c:v>
                </c:pt>
                <c:pt idx="7">
                  <c:v>Mises en garde, précautions ou mesures à prendre par le patient ou le professionnel de santé</c:v>
                </c:pt>
                <c:pt idx="8">
                  <c:v>Carte d'implant</c:v>
                </c:pt>
              </c:strCache>
            </c:strRef>
          </c:cat>
          <c:val>
            <c:numRef>
              <c:f>'Données SI ES'!$I$25:$I$33</c:f>
              <c:numCache>
                <c:formatCode>0%</c:formatCode>
                <c:ptCount val="9"/>
                <c:pt idx="0">
                  <c:v>0</c:v>
                </c:pt>
                <c:pt idx="1">
                  <c:v>0</c:v>
                </c:pt>
                <c:pt idx="2">
                  <c:v>0</c:v>
                </c:pt>
                <c:pt idx="3">
                  <c:v>1</c:v>
                </c:pt>
                <c:pt idx="4">
                  <c:v>0</c:v>
                </c:pt>
                <c:pt idx="5">
                  <c:v>0</c:v>
                </c:pt>
                <c:pt idx="6">
                  <c:v>0</c:v>
                </c:pt>
                <c:pt idx="7">
                  <c:v>0</c:v>
                </c:pt>
                <c:pt idx="8">
                  <c:v>0.5</c:v>
                </c:pt>
              </c:numCache>
            </c:numRef>
          </c:val>
          <c:extLst>
            <c:ext xmlns:c16="http://schemas.microsoft.com/office/drawing/2014/chart" uri="{C3380CC4-5D6E-409C-BE32-E72D297353CC}">
              <c16:uniqueId val="{00000002-5947-4D95-ACB3-CE0BA01486AA}"/>
            </c:ext>
          </c:extLst>
        </c:ser>
        <c:dLbls>
          <c:showLegendKey val="0"/>
          <c:showVal val="0"/>
          <c:showCatName val="0"/>
          <c:showSerName val="0"/>
          <c:showPercent val="0"/>
          <c:showBubbleSize val="0"/>
        </c:dLbls>
        <c:axId val="48870144"/>
        <c:axId val="48872064"/>
      </c:radarChart>
      <c:catAx>
        <c:axId val="48870144"/>
        <c:scaling>
          <c:orientation val="minMax"/>
        </c:scaling>
        <c:delete val="0"/>
        <c:axPos val="b"/>
        <c:majorGridlines/>
        <c:numFmt formatCode="General" sourceLinked="0"/>
        <c:majorTickMark val="none"/>
        <c:minorTickMark val="none"/>
        <c:tickLblPos val="nextTo"/>
        <c:crossAx val="48872064"/>
        <c:crosses val="autoZero"/>
        <c:auto val="1"/>
        <c:lblAlgn val="ctr"/>
        <c:lblOffset val="100"/>
        <c:noMultiLvlLbl val="0"/>
      </c:catAx>
      <c:valAx>
        <c:axId val="48872064"/>
        <c:scaling>
          <c:orientation val="minMax"/>
        </c:scaling>
        <c:delete val="0"/>
        <c:axPos val="l"/>
        <c:majorGridlines/>
        <c:numFmt formatCode="General" sourceLinked="1"/>
        <c:majorTickMark val="out"/>
        <c:minorTickMark val="none"/>
        <c:tickLblPos val="nextTo"/>
        <c:crossAx val="48870144"/>
        <c:crosses val="autoZero"/>
        <c:crossBetween val="between"/>
      </c:valAx>
    </c:plotArea>
    <c:plotVisOnly val="1"/>
    <c:dispBlanksAs val="gap"/>
    <c:showDLblsOverMax val="0"/>
  </c:chart>
  <c:spPr>
    <a:ln>
      <a:solidFill>
        <a:srgbClr val="034EA2"/>
      </a:solidFill>
    </a:ln>
  </c:spPr>
  <c:txPr>
    <a:bodyPr/>
    <a:lstStyle/>
    <a:p>
      <a:pPr>
        <a:defRPr>
          <a:solidFill>
            <a:srgbClr val="034EA2"/>
          </a:solidFill>
        </a:defRPr>
      </a:pPr>
      <a:endParaRPr lang="fr-FR"/>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aseline="0"/>
              <a:t>Analyse de confomité du processus remise de la carte implant tout service confondu</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ubbleChart>
        <c:varyColors val="0"/>
        <c:ser>
          <c:idx val="0"/>
          <c:order val="0"/>
          <c:tx>
            <c:strRef>
              <c:f>'Données croisées'!$R$5</c:f>
              <c:strCache>
                <c:ptCount val="1"/>
                <c:pt idx="0">
                  <c:v>Processus conforme</c:v>
                </c:pt>
              </c:strCache>
            </c:strRef>
          </c:tx>
          <c:spPr>
            <a:solidFill>
              <a:srgbClr val="00BF63"/>
            </a:solidFill>
            <a:ln w="25400">
              <a:noFill/>
            </a:ln>
            <a:effectLst/>
          </c:spPr>
          <c:invertIfNegative val="0"/>
          <c:dLbls>
            <c:spPr>
              <a:noFill/>
              <a:ln>
                <a:noFill/>
              </a:ln>
              <a:effectLst/>
            </c:spPr>
            <c:txPr>
              <a:bodyPr rot="0" spcFirstLastPara="1" vertOverflow="ellipsis" vert="horz" wrap="square" lIns="38100" tIns="19050" rIns="38100" bIns="19050" anchor="ctr" anchorCtr="0">
                <a:spAutoFit/>
              </a:bodyPr>
              <a:lstStyle/>
              <a:p>
                <a:pPr algn="ctr">
                  <a:defRPr lang="en-US" sz="1400" b="0" i="0" u="none" strike="noStrike" kern="1200" baseline="0">
                    <a:solidFill>
                      <a:sysClr val="windowText" lastClr="000000"/>
                    </a:solidFill>
                    <a:latin typeface="+mn-lt"/>
                    <a:ea typeface="+mn-ea"/>
                    <a:cs typeface="+mn-cs"/>
                  </a:defRPr>
                </a:pPr>
                <a:endParaRPr lang="fr-FR"/>
              </a:p>
            </c:txPr>
            <c:dLblPos val="ctr"/>
            <c:showLegendKey val="0"/>
            <c:showVal val="0"/>
            <c:showCatName val="0"/>
            <c:showSerName val="0"/>
            <c:showPercent val="0"/>
            <c:showBubbleSize val="1"/>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'Données croisées'!$S$5</c:f>
              <c:numCache>
                <c:formatCode>General</c:formatCode>
                <c:ptCount val="1"/>
                <c:pt idx="0">
                  <c:v>1</c:v>
                </c:pt>
              </c:numCache>
            </c:numRef>
          </c:xVal>
          <c:yVal>
            <c:numRef>
              <c:f>'Données croisées'!$T$5</c:f>
              <c:numCache>
                <c:formatCode>General</c:formatCode>
                <c:ptCount val="1"/>
                <c:pt idx="0">
                  <c:v>1</c:v>
                </c:pt>
              </c:numCache>
            </c:numRef>
          </c:yVal>
          <c:bubbleSize>
            <c:numRef>
              <c:f>'Données croisées'!$U$5</c:f>
              <c:numCache>
                <c:formatCode>General</c:formatCode>
                <c:ptCount val="1"/>
                <c:pt idx="0">
                  <c:v>14</c:v>
                </c:pt>
              </c:numCache>
            </c:numRef>
          </c:bubbleSize>
          <c:bubble3D val="1"/>
          <c:extLst>
            <c:ext xmlns:c16="http://schemas.microsoft.com/office/drawing/2014/chart" uri="{C3380CC4-5D6E-409C-BE32-E72D297353CC}">
              <c16:uniqueId val="{00000000-707F-4C52-8FAD-7E8F8A2E3787}"/>
            </c:ext>
          </c:extLst>
        </c:ser>
        <c:ser>
          <c:idx val="1"/>
          <c:order val="1"/>
          <c:tx>
            <c:strRef>
              <c:f>'Données croisées'!$R$6</c:f>
              <c:strCache>
                <c:ptCount val="1"/>
                <c:pt idx="0">
                  <c:v>Processus non conforme : Information non reçue &amp; non enregistrée dans le SI</c:v>
                </c:pt>
              </c:strCache>
            </c:strRef>
          </c:tx>
          <c:spPr>
            <a:solidFill>
              <a:srgbClr val="FF0000"/>
            </a:solidFill>
            <a:ln w="25400">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fr-FR"/>
              </a:p>
            </c:txPr>
            <c:dLblPos val="ctr"/>
            <c:showLegendKey val="0"/>
            <c:showVal val="0"/>
            <c:showCatName val="0"/>
            <c:showSerName val="0"/>
            <c:showPercent val="0"/>
            <c:showBubbleSize val="1"/>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'Données croisées'!$S$6</c:f>
              <c:numCache>
                <c:formatCode>General</c:formatCode>
                <c:ptCount val="1"/>
                <c:pt idx="0">
                  <c:v>-1</c:v>
                </c:pt>
              </c:numCache>
            </c:numRef>
          </c:xVal>
          <c:yVal>
            <c:numRef>
              <c:f>'Données croisées'!$T$6</c:f>
              <c:numCache>
                <c:formatCode>General</c:formatCode>
                <c:ptCount val="1"/>
                <c:pt idx="0">
                  <c:v>-1</c:v>
                </c:pt>
              </c:numCache>
            </c:numRef>
          </c:yVal>
          <c:bubbleSize>
            <c:numRef>
              <c:f>'Données croisées'!$U$6</c:f>
              <c:numCache>
                <c:formatCode>General</c:formatCode>
                <c:ptCount val="1"/>
                <c:pt idx="0">
                  <c:v>14</c:v>
                </c:pt>
              </c:numCache>
            </c:numRef>
          </c:bubbleSize>
          <c:bubble3D val="1"/>
          <c:extLst>
            <c:ext xmlns:c16="http://schemas.microsoft.com/office/drawing/2014/chart" uri="{C3380CC4-5D6E-409C-BE32-E72D297353CC}">
              <c16:uniqueId val="{00000001-707F-4C52-8FAD-7E8F8A2E3787}"/>
            </c:ext>
          </c:extLst>
        </c:ser>
        <c:ser>
          <c:idx val="2"/>
          <c:order val="2"/>
          <c:tx>
            <c:strRef>
              <c:f>'Données croisées'!$R$7</c:f>
              <c:strCache>
                <c:ptCount val="1"/>
                <c:pt idx="0">
                  <c:v>Écart : information reçue mais non tracée dans le SI</c:v>
                </c:pt>
              </c:strCache>
            </c:strRef>
          </c:tx>
          <c:spPr>
            <a:solidFill>
              <a:srgbClr val="FFC000"/>
            </a:solidFill>
            <a:ln w="25400">
              <a:noFill/>
            </a:ln>
            <a:effectLst/>
          </c:spPr>
          <c:invertIfNegative val="0"/>
          <c:dLbls>
            <c:dLbl>
              <c:idx val="0"/>
              <c:dLblPos val="ct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707F-4C52-8FAD-7E8F8A2E3787}"/>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'Données croisées'!$S$7</c:f>
              <c:numCache>
                <c:formatCode>General</c:formatCode>
                <c:ptCount val="1"/>
                <c:pt idx="0">
                  <c:v>1</c:v>
                </c:pt>
              </c:numCache>
            </c:numRef>
          </c:xVal>
          <c:yVal>
            <c:numRef>
              <c:f>'Données croisées'!$T$7</c:f>
              <c:numCache>
                <c:formatCode>General</c:formatCode>
                <c:ptCount val="1"/>
                <c:pt idx="0">
                  <c:v>-1</c:v>
                </c:pt>
              </c:numCache>
            </c:numRef>
          </c:yVal>
          <c:bubbleSize>
            <c:numRef>
              <c:f>'Données croisées'!$U$7</c:f>
              <c:numCache>
                <c:formatCode>General</c:formatCode>
                <c:ptCount val="1"/>
                <c:pt idx="0">
                  <c:v>1</c:v>
                </c:pt>
              </c:numCache>
            </c:numRef>
          </c:bubbleSize>
          <c:bubble3D val="1"/>
          <c:extLst>
            <c:ext xmlns:c16="http://schemas.microsoft.com/office/drawing/2014/chart" uri="{C3380CC4-5D6E-409C-BE32-E72D297353CC}">
              <c16:uniqueId val="{00000002-707F-4C52-8FAD-7E8F8A2E3787}"/>
            </c:ext>
          </c:extLst>
        </c:ser>
        <c:ser>
          <c:idx val="3"/>
          <c:order val="3"/>
          <c:tx>
            <c:strRef>
              <c:f>'Données croisées'!$R$8</c:f>
              <c:strCache>
                <c:ptCount val="1"/>
                <c:pt idx="0">
                  <c:v>Écart : information non reçue mais tracée dans le SI</c:v>
                </c:pt>
              </c:strCache>
            </c:strRef>
          </c:tx>
          <c:spPr>
            <a:solidFill>
              <a:srgbClr val="FFC000"/>
            </a:solidFill>
            <a:ln w="25400">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fr-FR"/>
                </a:p>
              </c:txPr>
              <c:dLblPos val="ct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707F-4C52-8FAD-7E8F8A2E3787}"/>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'Données croisées'!$S$8</c:f>
              <c:numCache>
                <c:formatCode>General</c:formatCode>
                <c:ptCount val="1"/>
                <c:pt idx="0">
                  <c:v>-1</c:v>
                </c:pt>
              </c:numCache>
            </c:numRef>
          </c:xVal>
          <c:yVal>
            <c:numRef>
              <c:f>'Données croisées'!$T$8</c:f>
              <c:numCache>
                <c:formatCode>General</c:formatCode>
                <c:ptCount val="1"/>
                <c:pt idx="0">
                  <c:v>1</c:v>
                </c:pt>
              </c:numCache>
            </c:numRef>
          </c:yVal>
          <c:bubbleSize>
            <c:numRef>
              <c:f>'Données croisées'!$U$8</c:f>
              <c:numCache>
                <c:formatCode>General</c:formatCode>
                <c:ptCount val="1"/>
                <c:pt idx="0">
                  <c:v>1</c:v>
                </c:pt>
              </c:numCache>
            </c:numRef>
          </c:bubbleSize>
          <c:bubble3D val="1"/>
          <c:extLst>
            <c:ext xmlns:c16="http://schemas.microsoft.com/office/drawing/2014/chart" uri="{C3380CC4-5D6E-409C-BE32-E72D297353CC}">
              <c16:uniqueId val="{00000003-707F-4C52-8FAD-7E8F8A2E3787}"/>
            </c:ext>
          </c:extLst>
        </c:ser>
        <c:dLbls>
          <c:showLegendKey val="0"/>
          <c:showVal val="0"/>
          <c:showCatName val="0"/>
          <c:showSerName val="0"/>
          <c:showPercent val="0"/>
          <c:showBubbleSize val="0"/>
        </c:dLbls>
        <c:bubbleScale val="100"/>
        <c:showNegBubbles val="0"/>
        <c:axId val="1297048863"/>
        <c:axId val="1297052223"/>
      </c:bubbleChart>
      <c:valAx>
        <c:axId val="129704886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97052223"/>
        <c:crosses val="autoZero"/>
        <c:crossBetween val="midCat"/>
      </c:valAx>
      <c:valAx>
        <c:axId val="12970522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97048863"/>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00" b="0" i="0" u="none" strike="noStrike" kern="1200" spc="0" baseline="0">
                <a:solidFill>
                  <a:sysClr val="windowText" lastClr="000000">
                    <a:lumMod val="65000"/>
                    <a:lumOff val="35000"/>
                  </a:sysClr>
                </a:solidFill>
                <a:latin typeface="+mn-lt"/>
                <a:ea typeface="+mn-ea"/>
                <a:cs typeface="+mn-cs"/>
              </a:defRPr>
            </a:pPr>
            <a:r>
              <a:rPr lang="fr-FR" sz="900" b="0" i="0" u="none" strike="noStrike" kern="1200" spc="0" baseline="0">
                <a:solidFill>
                  <a:sysClr val="windowText" lastClr="000000">
                    <a:lumMod val="65000"/>
                    <a:lumOff val="35000"/>
                  </a:sysClr>
                </a:solidFill>
                <a:latin typeface="+mn-lt"/>
                <a:ea typeface="+mn-ea"/>
                <a:cs typeface="+mn-cs"/>
              </a:rPr>
              <a:t>Répartition par genre</a:t>
            </a:r>
          </a:p>
        </c:rich>
      </c:tx>
      <c:overlay val="0"/>
      <c:spPr>
        <a:noFill/>
        <a:ln>
          <a:noFill/>
        </a:ln>
        <a:effectLst/>
      </c:spPr>
      <c:txPr>
        <a:bodyPr rot="0" spcFirstLastPara="1" vertOverflow="ellipsis" vert="horz" wrap="square" anchor="ctr" anchorCtr="1"/>
        <a:lstStyle/>
        <a:p>
          <a:pPr algn="ctr" rtl="0">
            <a:defRPr lang="fr-FR" sz="900" b="0" i="0" u="none" strike="noStrike" kern="1200" spc="0" baseline="0">
              <a:solidFill>
                <a:sysClr val="windowText" lastClr="000000">
                  <a:lumMod val="65000"/>
                  <a:lumOff val="35000"/>
                </a:sysClr>
              </a:solidFill>
              <a:latin typeface="+mn-lt"/>
              <a:ea typeface="+mn-ea"/>
              <a:cs typeface="+mn-cs"/>
            </a:defRPr>
          </a:pPr>
          <a:endParaRPr lang="fr-FR"/>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blipFill>
                <a:blip xmlns:r="http://schemas.openxmlformats.org/officeDocument/2006/relationships" r:embed="rId3"/>
                <a:stretch>
                  <a:fillRect/>
                </a:stretch>
              </a:blipFill>
              <a:ln>
                <a:noFill/>
              </a:ln>
              <a:effectLst/>
            </c:spPr>
            <c:pictureOptions>
              <c:pictureFormat val="stackScale"/>
            </c:pictureOptions>
            <c:extLst>
              <c:ext xmlns:c16="http://schemas.microsoft.com/office/drawing/2014/chart" uri="{C3380CC4-5D6E-409C-BE32-E72D297353CC}">
                <c16:uniqueId val="{00000003-55A4-4AEE-924D-74E3E1FFD470}"/>
              </c:ext>
            </c:extLst>
          </c:dPt>
          <c:dPt>
            <c:idx val="1"/>
            <c:invertIfNegative val="0"/>
            <c:bubble3D val="0"/>
            <c:spPr>
              <a:blipFill>
                <a:blip xmlns:r="http://schemas.openxmlformats.org/officeDocument/2006/relationships" r:embed="rId4"/>
                <a:stretch>
                  <a:fillRect/>
                </a:stretch>
              </a:blipFill>
              <a:ln>
                <a:noFill/>
              </a:ln>
              <a:effectLst/>
            </c:spPr>
            <c:pictureOptions>
              <c:pictureFormat val="stackScale"/>
            </c:pictureOptions>
            <c:extLst>
              <c:ext xmlns:c16="http://schemas.microsoft.com/office/drawing/2014/chart" uri="{C3380CC4-5D6E-409C-BE32-E72D297353CC}">
                <c16:uniqueId val="{00000004-55A4-4AEE-924D-74E3E1FFD470}"/>
              </c:ext>
            </c:extLst>
          </c:dPt>
          <c:val>
            <c:numRef>
              <c:f>Feuil1!$A$11:$B$11</c:f>
              <c:numCache>
                <c:formatCode>0%</c:formatCode>
                <c:ptCount val="2"/>
                <c:pt idx="0">
                  <c:v>0.46666666666666667</c:v>
                </c:pt>
                <c:pt idx="1">
                  <c:v>0.53333333333333333</c:v>
                </c:pt>
              </c:numCache>
            </c:numRef>
          </c:val>
          <c:extLst>
            <c:ext xmlns:c16="http://schemas.microsoft.com/office/drawing/2014/chart" uri="{C3380CC4-5D6E-409C-BE32-E72D297353CC}">
              <c16:uniqueId val="{00000000-55A4-4AEE-924D-74E3E1FFD470}"/>
            </c:ext>
          </c:extLst>
        </c:ser>
        <c:ser>
          <c:idx val="1"/>
          <c:order val="1"/>
          <c:spPr>
            <a:solidFill>
              <a:schemeClr val="accent2"/>
            </a:solidFill>
            <a:ln>
              <a:noFill/>
            </a:ln>
            <a:effectLst/>
          </c:spPr>
          <c:invertIfNegative val="0"/>
          <c:dPt>
            <c:idx val="0"/>
            <c:invertIfNegative val="0"/>
            <c:bubble3D val="0"/>
            <c:spPr>
              <a:blipFill>
                <a:blip xmlns:r="http://schemas.openxmlformats.org/officeDocument/2006/relationships" r:embed="rId5"/>
                <a:stretch>
                  <a:fillRect/>
                </a:stretch>
              </a:blipFill>
              <a:ln>
                <a:noFill/>
              </a:ln>
              <a:effectLst/>
            </c:spPr>
            <c:extLst>
              <c:ext xmlns:c16="http://schemas.microsoft.com/office/drawing/2014/chart" uri="{C3380CC4-5D6E-409C-BE32-E72D297353CC}">
                <c16:uniqueId val="{00000006-55A4-4AEE-924D-74E3E1FFD470}"/>
              </c:ext>
            </c:extLst>
          </c:dPt>
          <c:dPt>
            <c:idx val="1"/>
            <c:invertIfNegative val="0"/>
            <c:bubble3D val="0"/>
            <c:spPr>
              <a:blipFill>
                <a:blip xmlns:r="http://schemas.openxmlformats.org/officeDocument/2006/relationships" r:embed="rId6"/>
                <a:stretch>
                  <a:fillRect/>
                </a:stretch>
              </a:blipFill>
              <a:ln>
                <a:noFill/>
              </a:ln>
              <a:effectLst/>
            </c:spPr>
            <c:extLst>
              <c:ext xmlns:c16="http://schemas.microsoft.com/office/drawing/2014/chart" uri="{C3380CC4-5D6E-409C-BE32-E72D297353CC}">
                <c16:uniqueId val="{00000007-55A4-4AEE-924D-74E3E1FFD470}"/>
              </c:ext>
            </c:extLst>
          </c:dPt>
          <c:dLbls>
            <c:dLbl>
              <c:idx val="0"/>
              <c:tx>
                <c:rich>
                  <a:bodyPr rot="0" spcFirstLastPara="1" vertOverflow="ellipsis" vert="horz" wrap="square" lIns="38100" tIns="19050" rIns="38100" bIns="19050" anchor="ctr" anchorCtr="1">
                    <a:spAutoFit/>
                  </a:bodyPr>
                  <a:lstStyle/>
                  <a:p>
                    <a:pPr>
                      <a:defRPr sz="1100" b="1" i="0" u="none" strike="noStrike" kern="1200" baseline="0">
                        <a:solidFill>
                          <a:srgbClr val="FF00FF"/>
                        </a:solidFill>
                        <a:latin typeface="+mn-lt"/>
                        <a:ea typeface="+mn-ea"/>
                        <a:cs typeface="+mn-cs"/>
                      </a:defRPr>
                    </a:pPr>
                    <a:fld id="{279DD8D0-0B1B-4951-AC57-E0164FAC4A00}" type="CELLRANGE">
                      <a:rPr lang="en-US"/>
                      <a:pPr>
                        <a:defRPr sz="1100" b="1">
                          <a:solidFill>
                            <a:srgbClr val="FF00FF"/>
                          </a:solidFill>
                        </a:defRPr>
                      </a:pPr>
                      <a:t>[PLAGECELL]</a:t>
                    </a:fld>
                    <a:endParaRPr lang="fr-FR"/>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FF00FF"/>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55A4-4AEE-924D-74E3E1FFD470}"/>
                </c:ext>
              </c:extLst>
            </c:dLbl>
            <c:dLbl>
              <c:idx val="1"/>
              <c:tx>
                <c:rich>
                  <a:bodyPr rot="0" spcFirstLastPara="1" vertOverflow="ellipsis" vert="horz" wrap="square" lIns="38100" tIns="19050" rIns="38100" bIns="19050" anchor="ctr" anchorCtr="1">
                    <a:spAutoFit/>
                  </a:bodyPr>
                  <a:lstStyle/>
                  <a:p>
                    <a:pPr>
                      <a:defRPr sz="1100" b="1" i="0" u="none" strike="noStrike" kern="1200" baseline="0">
                        <a:solidFill>
                          <a:srgbClr val="0049AE"/>
                        </a:solidFill>
                        <a:latin typeface="+mn-lt"/>
                        <a:ea typeface="+mn-ea"/>
                        <a:cs typeface="+mn-cs"/>
                      </a:defRPr>
                    </a:pPr>
                    <a:fld id="{16490D35-0C10-49A0-AEB4-4FA0B59F7E24}" type="CELLRANGE">
                      <a:rPr lang="fr-FR"/>
                      <a:pPr>
                        <a:defRPr sz="1100" b="1">
                          <a:solidFill>
                            <a:srgbClr val="0049AE"/>
                          </a:solidFill>
                        </a:defRPr>
                      </a:pPr>
                      <a:t>[PLAGECELL]</a:t>
                    </a:fld>
                    <a:endParaRPr lang="fr-FR"/>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49AE"/>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5A4-4AEE-924D-74E3E1FFD470}"/>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val>
            <c:numRef>
              <c:f>Feuil1!$A$12:$B$12</c:f>
              <c:numCache>
                <c:formatCode>0%</c:formatCode>
                <c:ptCount val="2"/>
                <c:pt idx="0">
                  <c:v>1</c:v>
                </c:pt>
                <c:pt idx="1">
                  <c:v>1</c:v>
                </c:pt>
              </c:numCache>
            </c:numRef>
          </c:val>
          <c:extLst>
            <c:ext xmlns:c15="http://schemas.microsoft.com/office/drawing/2012/chart" uri="{02D57815-91ED-43cb-92C2-25804820EDAC}">
              <c15:datalabelsRange>
                <c15:f>Feuil1!$A$11:$B$11</c15:f>
                <c15:dlblRangeCache>
                  <c:ptCount val="2"/>
                  <c:pt idx="0">
                    <c:v>47%</c:v>
                  </c:pt>
                  <c:pt idx="1">
                    <c:v>53%</c:v>
                  </c:pt>
                </c15:dlblRangeCache>
              </c15:datalabelsRange>
            </c:ext>
            <c:ext xmlns:c16="http://schemas.microsoft.com/office/drawing/2014/chart" uri="{C3380CC4-5D6E-409C-BE32-E72D297353CC}">
              <c16:uniqueId val="{00000001-55A4-4AEE-924D-74E3E1FFD470}"/>
            </c:ext>
          </c:extLst>
        </c:ser>
        <c:dLbls>
          <c:showLegendKey val="0"/>
          <c:showVal val="0"/>
          <c:showCatName val="0"/>
          <c:showSerName val="0"/>
          <c:showPercent val="0"/>
          <c:showBubbleSize val="0"/>
        </c:dLbls>
        <c:gapWidth val="0"/>
        <c:overlap val="100"/>
        <c:axId val="1130928592"/>
        <c:axId val="1130929840"/>
      </c:barChart>
      <c:catAx>
        <c:axId val="1130928592"/>
        <c:scaling>
          <c:orientation val="minMax"/>
        </c:scaling>
        <c:delete val="1"/>
        <c:axPos val="b"/>
        <c:majorTickMark val="none"/>
        <c:minorTickMark val="none"/>
        <c:tickLblPos val="nextTo"/>
        <c:crossAx val="1130929840"/>
        <c:crosses val="autoZero"/>
        <c:auto val="1"/>
        <c:lblAlgn val="ctr"/>
        <c:lblOffset val="100"/>
        <c:noMultiLvlLbl val="0"/>
      </c:catAx>
      <c:valAx>
        <c:axId val="1130929840"/>
        <c:scaling>
          <c:orientation val="minMax"/>
        </c:scaling>
        <c:delete val="1"/>
        <c:axPos val="l"/>
        <c:numFmt formatCode="0%" sourceLinked="1"/>
        <c:majorTickMark val="none"/>
        <c:minorTickMark val="none"/>
        <c:tickLblPos val="nextTo"/>
        <c:crossAx val="113092859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0" i="0" u="none" strike="noStrike" kern="1200" spc="0" baseline="0">
                <a:solidFill>
                  <a:sysClr val="windowText" lastClr="000000">
                    <a:lumMod val="65000"/>
                    <a:lumOff val="35000"/>
                  </a:sysClr>
                </a:solidFill>
              </a:rPr>
              <a:t>Analyse de confomité du processus remise de la lettre de liaison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ubbleChart>
        <c:varyColors val="0"/>
        <c:ser>
          <c:idx val="0"/>
          <c:order val="0"/>
          <c:tx>
            <c:strRef>
              <c:f>'Données croisées'!$R$52</c:f>
              <c:strCache>
                <c:ptCount val="1"/>
                <c:pt idx="0">
                  <c:v>Processus conforme</c:v>
                </c:pt>
              </c:strCache>
            </c:strRef>
          </c:tx>
          <c:spPr>
            <a:solidFill>
              <a:srgbClr val="00BF63"/>
            </a:solidFill>
            <a:ln w="25400">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dLblPos val="ctr"/>
            <c:showLegendKey val="0"/>
            <c:showVal val="0"/>
            <c:showCatName val="0"/>
            <c:showSerName val="0"/>
            <c:showPercent val="0"/>
            <c:showBubbleSize val="1"/>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'Données croisées'!$S$52</c:f>
              <c:numCache>
                <c:formatCode>General</c:formatCode>
                <c:ptCount val="1"/>
                <c:pt idx="0">
                  <c:v>1</c:v>
                </c:pt>
              </c:numCache>
            </c:numRef>
          </c:xVal>
          <c:yVal>
            <c:numRef>
              <c:f>'Données croisées'!$T$52</c:f>
              <c:numCache>
                <c:formatCode>General</c:formatCode>
                <c:ptCount val="1"/>
                <c:pt idx="0">
                  <c:v>1</c:v>
                </c:pt>
              </c:numCache>
            </c:numRef>
          </c:yVal>
          <c:bubbleSize>
            <c:numRef>
              <c:f>'Données croisées'!$U$52</c:f>
              <c:numCache>
                <c:formatCode>General</c:formatCode>
                <c:ptCount val="1"/>
                <c:pt idx="0">
                  <c:v>15</c:v>
                </c:pt>
              </c:numCache>
            </c:numRef>
          </c:bubbleSize>
          <c:bubble3D val="1"/>
          <c:extLst>
            <c:ext xmlns:c16="http://schemas.microsoft.com/office/drawing/2014/chart" uri="{C3380CC4-5D6E-409C-BE32-E72D297353CC}">
              <c16:uniqueId val="{00000000-2679-49C6-BF12-F3E8B3504AF0}"/>
            </c:ext>
          </c:extLst>
        </c:ser>
        <c:ser>
          <c:idx val="1"/>
          <c:order val="1"/>
          <c:tx>
            <c:strRef>
              <c:f>'Données croisées'!$R$53</c:f>
              <c:strCache>
                <c:ptCount val="1"/>
                <c:pt idx="0">
                  <c:v>Processus non conforme : Information non reçue &amp; non enregistrée dans le SI</c:v>
                </c:pt>
              </c:strCache>
            </c:strRef>
          </c:tx>
          <c:spPr>
            <a:solidFill>
              <a:srgbClr val="FF0000"/>
            </a:solidFill>
            <a:ln w="25400">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dLblPos val="ctr"/>
            <c:showLegendKey val="0"/>
            <c:showVal val="0"/>
            <c:showCatName val="0"/>
            <c:showSerName val="0"/>
            <c:showPercent val="0"/>
            <c:showBubbleSize val="1"/>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'Données croisées'!$S$53</c:f>
              <c:numCache>
                <c:formatCode>General</c:formatCode>
                <c:ptCount val="1"/>
                <c:pt idx="0">
                  <c:v>-1</c:v>
                </c:pt>
              </c:numCache>
            </c:numRef>
          </c:xVal>
          <c:yVal>
            <c:numRef>
              <c:f>'Données croisées'!$T$53</c:f>
              <c:numCache>
                <c:formatCode>General</c:formatCode>
                <c:ptCount val="1"/>
                <c:pt idx="0">
                  <c:v>-1</c:v>
                </c:pt>
              </c:numCache>
            </c:numRef>
          </c:yVal>
          <c:bubbleSize>
            <c:numRef>
              <c:f>'Données croisées'!$U$53</c:f>
              <c:numCache>
                <c:formatCode>General</c:formatCode>
                <c:ptCount val="1"/>
                <c:pt idx="0">
                  <c:v>15</c:v>
                </c:pt>
              </c:numCache>
            </c:numRef>
          </c:bubbleSize>
          <c:bubble3D val="1"/>
          <c:extLst>
            <c:ext xmlns:c16="http://schemas.microsoft.com/office/drawing/2014/chart" uri="{C3380CC4-5D6E-409C-BE32-E72D297353CC}">
              <c16:uniqueId val="{00000001-2679-49C6-BF12-F3E8B3504AF0}"/>
            </c:ext>
          </c:extLst>
        </c:ser>
        <c:ser>
          <c:idx val="2"/>
          <c:order val="2"/>
          <c:tx>
            <c:strRef>
              <c:f>'Données croisées'!$R$54</c:f>
              <c:strCache>
                <c:ptCount val="1"/>
                <c:pt idx="0">
                  <c:v>Écart : information reçue mais non tracée dans le SI</c:v>
                </c:pt>
              </c:strCache>
            </c:strRef>
          </c:tx>
          <c:spPr>
            <a:solidFill>
              <a:srgbClr val="FFC000"/>
            </a:solidFill>
            <a:ln w="25400">
              <a:noFill/>
            </a:ln>
            <a:effectLst/>
          </c:spPr>
          <c:invertIfNegative val="0"/>
          <c:xVal>
            <c:numRef>
              <c:f>'Données croisées'!$S$54</c:f>
              <c:numCache>
                <c:formatCode>General</c:formatCode>
                <c:ptCount val="1"/>
                <c:pt idx="0">
                  <c:v>1</c:v>
                </c:pt>
              </c:numCache>
            </c:numRef>
          </c:xVal>
          <c:yVal>
            <c:numRef>
              <c:f>'Données croisées'!$T$54</c:f>
              <c:numCache>
                <c:formatCode>General</c:formatCode>
                <c:ptCount val="1"/>
                <c:pt idx="0">
                  <c:v>-1</c:v>
                </c:pt>
              </c:numCache>
            </c:numRef>
          </c:yVal>
          <c:bubbleSize>
            <c:numRef>
              <c:f>'Données croisées'!$U$54</c:f>
              <c:numCache>
                <c:formatCode>General</c:formatCode>
                <c:ptCount val="1"/>
                <c:pt idx="0">
                  <c:v>0</c:v>
                </c:pt>
              </c:numCache>
            </c:numRef>
          </c:bubbleSize>
          <c:bubble3D val="1"/>
          <c:extLst>
            <c:ext xmlns:c16="http://schemas.microsoft.com/office/drawing/2014/chart" uri="{C3380CC4-5D6E-409C-BE32-E72D297353CC}">
              <c16:uniqueId val="{00000002-2679-49C6-BF12-F3E8B3504AF0}"/>
            </c:ext>
          </c:extLst>
        </c:ser>
        <c:ser>
          <c:idx val="3"/>
          <c:order val="3"/>
          <c:tx>
            <c:strRef>
              <c:f>'Données croisées'!$R$55</c:f>
              <c:strCache>
                <c:ptCount val="1"/>
                <c:pt idx="0">
                  <c:v>Écart : information non reçue mais tracée dans le SI</c:v>
                </c:pt>
              </c:strCache>
            </c:strRef>
          </c:tx>
          <c:spPr>
            <a:solidFill>
              <a:srgbClr val="FFC000"/>
            </a:solidFill>
            <a:ln w="25400">
              <a:noFill/>
            </a:ln>
            <a:effectLst/>
          </c:spPr>
          <c:invertIfNegative val="0"/>
          <c:xVal>
            <c:numRef>
              <c:f>'Données croisées'!$S$55</c:f>
              <c:numCache>
                <c:formatCode>General</c:formatCode>
                <c:ptCount val="1"/>
                <c:pt idx="0">
                  <c:v>-1</c:v>
                </c:pt>
              </c:numCache>
            </c:numRef>
          </c:xVal>
          <c:yVal>
            <c:numRef>
              <c:f>'Données croisées'!$T$55</c:f>
              <c:numCache>
                <c:formatCode>General</c:formatCode>
                <c:ptCount val="1"/>
                <c:pt idx="0">
                  <c:v>1</c:v>
                </c:pt>
              </c:numCache>
            </c:numRef>
          </c:yVal>
          <c:bubbleSize>
            <c:numRef>
              <c:f>'Données croisées'!$U$55</c:f>
              <c:numCache>
                <c:formatCode>General</c:formatCode>
                <c:ptCount val="1"/>
                <c:pt idx="0">
                  <c:v>0</c:v>
                </c:pt>
              </c:numCache>
            </c:numRef>
          </c:bubbleSize>
          <c:bubble3D val="1"/>
          <c:extLst>
            <c:ext xmlns:c16="http://schemas.microsoft.com/office/drawing/2014/chart" uri="{C3380CC4-5D6E-409C-BE32-E72D297353CC}">
              <c16:uniqueId val="{00000003-2679-49C6-BF12-F3E8B3504AF0}"/>
            </c:ext>
          </c:extLst>
        </c:ser>
        <c:dLbls>
          <c:showLegendKey val="0"/>
          <c:showVal val="0"/>
          <c:showCatName val="0"/>
          <c:showSerName val="0"/>
          <c:showPercent val="0"/>
          <c:showBubbleSize val="0"/>
        </c:dLbls>
        <c:bubbleScale val="100"/>
        <c:showNegBubbles val="0"/>
        <c:axId val="1297063743"/>
        <c:axId val="1297065183"/>
      </c:bubbleChart>
      <c:valAx>
        <c:axId val="129706374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97065183"/>
        <c:crosses val="autoZero"/>
        <c:crossBetween val="midCat"/>
      </c:valAx>
      <c:valAx>
        <c:axId val="12970651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97063743"/>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ubbleChart>
        <c:varyColors val="0"/>
        <c:ser>
          <c:idx val="0"/>
          <c:order val="0"/>
          <c:tx>
            <c:strRef>
              <c:f>'Données croisées'!$R$102</c:f>
              <c:strCache>
                <c:ptCount val="1"/>
                <c:pt idx="0">
                  <c:v>Processus conforme</c:v>
                </c:pt>
              </c:strCache>
            </c:strRef>
          </c:tx>
          <c:spPr>
            <a:solidFill>
              <a:srgbClr val="00BF63"/>
            </a:solidFill>
            <a:ln w="25400">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dLblPos val="ctr"/>
            <c:showLegendKey val="0"/>
            <c:showVal val="0"/>
            <c:showCatName val="0"/>
            <c:showSerName val="0"/>
            <c:showPercent val="0"/>
            <c:showBubbleSize val="1"/>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'Données croisées'!$S$102</c:f>
              <c:numCache>
                <c:formatCode>General</c:formatCode>
                <c:ptCount val="1"/>
                <c:pt idx="0">
                  <c:v>1</c:v>
                </c:pt>
              </c:numCache>
            </c:numRef>
          </c:xVal>
          <c:yVal>
            <c:numRef>
              <c:f>'Données croisées'!$T$102</c:f>
              <c:numCache>
                <c:formatCode>General</c:formatCode>
                <c:ptCount val="1"/>
                <c:pt idx="0">
                  <c:v>1</c:v>
                </c:pt>
              </c:numCache>
            </c:numRef>
          </c:yVal>
          <c:bubbleSize>
            <c:numRef>
              <c:f>'Données croisées'!$U$102</c:f>
              <c:numCache>
                <c:formatCode>General</c:formatCode>
                <c:ptCount val="1"/>
                <c:pt idx="0">
                  <c:v>4</c:v>
                </c:pt>
              </c:numCache>
            </c:numRef>
          </c:bubbleSize>
          <c:bubble3D val="1"/>
          <c:extLst>
            <c:ext xmlns:c16="http://schemas.microsoft.com/office/drawing/2014/chart" uri="{C3380CC4-5D6E-409C-BE32-E72D297353CC}">
              <c16:uniqueId val="{00000000-A42D-4175-BEB7-B1D3718279FA}"/>
            </c:ext>
          </c:extLst>
        </c:ser>
        <c:ser>
          <c:idx val="1"/>
          <c:order val="1"/>
          <c:tx>
            <c:strRef>
              <c:f>'Données croisées'!$R$103</c:f>
              <c:strCache>
                <c:ptCount val="1"/>
                <c:pt idx="0">
                  <c:v>Processus non conforme : Information non reçue &amp; non enregistrée dans le SI</c:v>
                </c:pt>
              </c:strCache>
            </c:strRef>
          </c:tx>
          <c:spPr>
            <a:solidFill>
              <a:srgbClr val="FF0000"/>
            </a:solidFill>
            <a:ln w="25400">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dLblPos val="ctr"/>
            <c:showLegendKey val="0"/>
            <c:showVal val="0"/>
            <c:showCatName val="0"/>
            <c:showSerName val="0"/>
            <c:showPercent val="0"/>
            <c:showBubbleSize val="1"/>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'Données croisées'!$S$103</c:f>
              <c:numCache>
                <c:formatCode>General</c:formatCode>
                <c:ptCount val="1"/>
                <c:pt idx="0">
                  <c:v>-1</c:v>
                </c:pt>
              </c:numCache>
            </c:numRef>
          </c:xVal>
          <c:yVal>
            <c:numRef>
              <c:f>'Données croisées'!$T$103</c:f>
              <c:numCache>
                <c:formatCode>General</c:formatCode>
                <c:ptCount val="1"/>
                <c:pt idx="0">
                  <c:v>-1</c:v>
                </c:pt>
              </c:numCache>
            </c:numRef>
          </c:yVal>
          <c:bubbleSize>
            <c:numRef>
              <c:f>'Données croisées'!$U$103</c:f>
              <c:numCache>
                <c:formatCode>General</c:formatCode>
                <c:ptCount val="1"/>
                <c:pt idx="0">
                  <c:v>12</c:v>
                </c:pt>
              </c:numCache>
            </c:numRef>
          </c:bubbleSize>
          <c:bubble3D val="1"/>
          <c:extLst>
            <c:ext xmlns:c16="http://schemas.microsoft.com/office/drawing/2014/chart" uri="{C3380CC4-5D6E-409C-BE32-E72D297353CC}">
              <c16:uniqueId val="{00000002-A42D-4175-BEB7-B1D3718279FA}"/>
            </c:ext>
          </c:extLst>
        </c:ser>
        <c:ser>
          <c:idx val="2"/>
          <c:order val="2"/>
          <c:tx>
            <c:strRef>
              <c:f>'Données croisées'!$R$104</c:f>
              <c:strCache>
                <c:ptCount val="1"/>
                <c:pt idx="0">
                  <c:v>Écart : information reçue mais non tracée dans le SI</c:v>
                </c:pt>
              </c:strCache>
            </c:strRef>
          </c:tx>
          <c:spPr>
            <a:solidFill>
              <a:srgbClr val="FFC000"/>
            </a:solidFill>
            <a:ln w="25400">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dLblPos val="ctr"/>
            <c:showLegendKey val="0"/>
            <c:showVal val="0"/>
            <c:showCatName val="0"/>
            <c:showSerName val="0"/>
            <c:showPercent val="0"/>
            <c:showBubbleSize val="1"/>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'Données croisées'!$S$104</c:f>
              <c:numCache>
                <c:formatCode>General</c:formatCode>
                <c:ptCount val="1"/>
                <c:pt idx="0">
                  <c:v>1</c:v>
                </c:pt>
              </c:numCache>
            </c:numRef>
          </c:xVal>
          <c:yVal>
            <c:numRef>
              <c:f>'Données croisées'!$T$104</c:f>
              <c:numCache>
                <c:formatCode>General</c:formatCode>
                <c:ptCount val="1"/>
                <c:pt idx="0">
                  <c:v>-1</c:v>
                </c:pt>
              </c:numCache>
            </c:numRef>
          </c:yVal>
          <c:bubbleSize>
            <c:numRef>
              <c:f>'Données croisées'!$U$104</c:f>
              <c:numCache>
                <c:formatCode>General</c:formatCode>
                <c:ptCount val="1"/>
                <c:pt idx="0">
                  <c:v>3</c:v>
                </c:pt>
              </c:numCache>
            </c:numRef>
          </c:bubbleSize>
          <c:bubble3D val="1"/>
          <c:extLst>
            <c:ext xmlns:c16="http://schemas.microsoft.com/office/drawing/2014/chart" uri="{C3380CC4-5D6E-409C-BE32-E72D297353CC}">
              <c16:uniqueId val="{00000003-A42D-4175-BEB7-B1D3718279FA}"/>
            </c:ext>
          </c:extLst>
        </c:ser>
        <c:ser>
          <c:idx val="3"/>
          <c:order val="3"/>
          <c:tx>
            <c:strRef>
              <c:f>'Données croisées'!$R$105</c:f>
              <c:strCache>
                <c:ptCount val="1"/>
                <c:pt idx="0">
                  <c:v>Écart : information non reçue mais tracée dans le SI</c:v>
                </c:pt>
              </c:strCache>
            </c:strRef>
          </c:tx>
          <c:spPr>
            <a:solidFill>
              <a:srgbClr val="FFC000"/>
            </a:solidFill>
            <a:ln w="25400">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dLblPos val="ctr"/>
            <c:showLegendKey val="0"/>
            <c:showVal val="0"/>
            <c:showCatName val="0"/>
            <c:showSerName val="0"/>
            <c:showPercent val="0"/>
            <c:showBubbleSize val="1"/>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'Données croisées'!$S$105</c:f>
              <c:numCache>
                <c:formatCode>General</c:formatCode>
                <c:ptCount val="1"/>
                <c:pt idx="0">
                  <c:v>-1</c:v>
                </c:pt>
              </c:numCache>
            </c:numRef>
          </c:xVal>
          <c:yVal>
            <c:numRef>
              <c:f>'Données croisées'!$T$105</c:f>
              <c:numCache>
                <c:formatCode>General</c:formatCode>
                <c:ptCount val="1"/>
                <c:pt idx="0">
                  <c:v>1</c:v>
                </c:pt>
              </c:numCache>
            </c:numRef>
          </c:yVal>
          <c:bubbleSize>
            <c:numRef>
              <c:f>'Données croisées'!$U$105</c:f>
              <c:numCache>
                <c:formatCode>General</c:formatCode>
                <c:ptCount val="1"/>
                <c:pt idx="0">
                  <c:v>11</c:v>
                </c:pt>
              </c:numCache>
            </c:numRef>
          </c:bubbleSize>
          <c:bubble3D val="1"/>
          <c:extLst>
            <c:ext xmlns:c16="http://schemas.microsoft.com/office/drawing/2014/chart" uri="{C3380CC4-5D6E-409C-BE32-E72D297353CC}">
              <c16:uniqueId val="{00000004-A42D-4175-BEB7-B1D3718279FA}"/>
            </c:ext>
          </c:extLst>
        </c:ser>
        <c:dLbls>
          <c:showLegendKey val="0"/>
          <c:showVal val="0"/>
          <c:showCatName val="0"/>
          <c:showSerName val="0"/>
          <c:showPercent val="0"/>
          <c:showBubbleSize val="0"/>
        </c:dLbls>
        <c:bubbleScale val="100"/>
        <c:showNegBubbles val="0"/>
        <c:axId val="312779215"/>
        <c:axId val="312767983"/>
      </c:bubbleChart>
      <c:valAx>
        <c:axId val="31277921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12767983"/>
        <c:crosses val="autoZero"/>
        <c:crossBetween val="midCat"/>
      </c:valAx>
      <c:valAx>
        <c:axId val="31276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1277921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00" b="0" i="0" u="none" strike="noStrike" kern="1200" cap="none" spc="0" baseline="0">
                <a:solidFill>
                  <a:sysClr val="windowText" lastClr="000000">
                    <a:lumMod val="65000"/>
                    <a:lumOff val="35000"/>
                  </a:sysClr>
                </a:solidFill>
                <a:latin typeface="+mn-lt"/>
                <a:ea typeface="+mn-ea"/>
                <a:cs typeface="+mn-cs"/>
              </a:defRPr>
            </a:pPr>
            <a:r>
              <a:rPr lang="fr-FR" sz="900" b="0" i="0" u="none" strike="noStrike" kern="1200" spc="0" baseline="0">
                <a:solidFill>
                  <a:sysClr val="windowText" lastClr="000000">
                    <a:lumMod val="65000"/>
                    <a:lumOff val="35000"/>
                  </a:sysClr>
                </a:solidFill>
                <a:latin typeface="+mn-lt"/>
                <a:ea typeface="+mn-ea"/>
                <a:cs typeface="+mn-cs"/>
              </a:rPr>
              <a:t>Répartition par genre</a:t>
            </a:r>
          </a:p>
        </c:rich>
      </c:tx>
      <c:overlay val="0"/>
      <c:spPr>
        <a:noFill/>
        <a:ln>
          <a:noFill/>
        </a:ln>
        <a:effectLst/>
      </c:spPr>
      <c:txPr>
        <a:bodyPr rot="0" spcFirstLastPara="1" vertOverflow="ellipsis" vert="horz" wrap="square" anchor="ctr" anchorCtr="1"/>
        <a:lstStyle/>
        <a:p>
          <a:pPr algn="ctr" rtl="0">
            <a:defRPr lang="fr-FR" sz="900" b="0" i="0" u="none" strike="noStrike" kern="1200" cap="none" spc="0" baseline="0">
              <a:solidFill>
                <a:sysClr val="windowText" lastClr="000000">
                  <a:lumMod val="65000"/>
                  <a:lumOff val="35000"/>
                </a:sysClr>
              </a:solidFill>
              <a:latin typeface="+mn-lt"/>
              <a:ea typeface="+mn-ea"/>
              <a:cs typeface="+mn-cs"/>
            </a:defRPr>
          </a:pPr>
          <a:endParaRPr lang="fr-FR"/>
        </a:p>
      </c:txPr>
    </c:title>
    <c:autoTitleDeleted val="0"/>
    <c:plotArea>
      <c:layout/>
      <c:barChart>
        <c:barDir val="col"/>
        <c:grouping val="clustered"/>
        <c:varyColors val="0"/>
        <c:ser>
          <c:idx val="1"/>
          <c:order val="0"/>
          <c:tx>
            <c:strRef>
              <c:f>'Données patients'!$B$25</c:f>
              <c:strCache>
                <c:ptCount val="1"/>
                <c:pt idx="0">
                  <c:v>1</c:v>
                </c:pt>
              </c:strCache>
            </c:strRef>
          </c:tx>
          <c:spPr>
            <a:solidFill>
              <a:srgbClr val="7030A0"/>
            </a:solidFill>
            <a:ln w="9525" cap="flat" cmpd="sng" algn="ctr">
              <a:noFill/>
              <a:round/>
            </a:ln>
            <a:effectLst>
              <a:outerShdw blurRad="40000" dist="20000" dir="5400000" rotWithShape="0">
                <a:srgbClr val="000000">
                  <a:alpha val="38000"/>
                </a:srgbClr>
              </a:outerShdw>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'Données patients'!$C$10:$D$10</c:f>
              <c:strCache>
                <c:ptCount val="2"/>
                <c:pt idx="0">
                  <c:v>Femme</c:v>
                </c:pt>
                <c:pt idx="1">
                  <c:v>Homme</c:v>
                </c:pt>
              </c:strCache>
            </c:strRef>
          </c:cat>
          <c:val>
            <c:numRef>
              <c:f>'Données patients'!$C$25:$D$25</c:f>
              <c:numCache>
                <c:formatCode>General</c:formatCode>
                <c:ptCount val="2"/>
                <c:pt idx="0">
                  <c:v>11</c:v>
                </c:pt>
                <c:pt idx="1">
                  <c:v>11</c:v>
                </c:pt>
              </c:numCache>
            </c:numRef>
          </c:val>
          <c:extLst>
            <c:ext xmlns:c16="http://schemas.microsoft.com/office/drawing/2014/chart" uri="{C3380CC4-5D6E-409C-BE32-E72D297353CC}">
              <c16:uniqueId val="{00000001-2D86-48CD-B73F-1CC4D4101E01}"/>
            </c:ext>
          </c:extLst>
        </c:ser>
        <c:ser>
          <c:idx val="2"/>
          <c:order val="1"/>
          <c:tx>
            <c:strRef>
              <c:f>'Données patients'!$B$26</c:f>
              <c:strCache>
                <c:ptCount val="1"/>
                <c:pt idx="0">
                  <c:v>2</c:v>
                </c:pt>
              </c:strCache>
            </c:strRef>
          </c:tx>
          <c:spPr>
            <a:solidFill>
              <a:srgbClr val="38B6FF"/>
            </a:solidFill>
            <a:ln w="9525" cap="flat" cmpd="sng" algn="ctr">
              <a:noFill/>
              <a:round/>
            </a:ln>
            <a:effectLst>
              <a:outerShdw blurRad="40000" dist="20000" dir="5400000" rotWithShape="0">
                <a:srgbClr val="000000">
                  <a:alpha val="38000"/>
                </a:srgbClr>
              </a:outerShdw>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'Données patients'!$C$10:$D$10</c:f>
              <c:strCache>
                <c:ptCount val="2"/>
                <c:pt idx="0">
                  <c:v>Femme</c:v>
                </c:pt>
                <c:pt idx="1">
                  <c:v>Homme</c:v>
                </c:pt>
              </c:strCache>
            </c:strRef>
          </c:cat>
          <c:val>
            <c:numRef>
              <c:f>'Données patients'!$C$26:$D$26</c:f>
              <c:numCache>
                <c:formatCode>General</c:formatCode>
                <c:ptCount val="2"/>
                <c:pt idx="0">
                  <c:v>2</c:v>
                </c:pt>
                <c:pt idx="1">
                  <c:v>4</c:v>
                </c:pt>
              </c:numCache>
            </c:numRef>
          </c:val>
          <c:extLst>
            <c:ext xmlns:c16="http://schemas.microsoft.com/office/drawing/2014/chart" uri="{C3380CC4-5D6E-409C-BE32-E72D297353CC}">
              <c16:uniqueId val="{00000002-2D86-48CD-B73F-1CC4D4101E01}"/>
            </c:ext>
          </c:extLst>
        </c:ser>
        <c:ser>
          <c:idx val="0"/>
          <c:order val="2"/>
          <c:tx>
            <c:strRef>
              <c:f>'Données patients'!$B$27</c:f>
              <c:strCache>
                <c:ptCount val="1"/>
                <c:pt idx="0">
                  <c:v>3 et +</c:v>
                </c:pt>
              </c:strCache>
            </c:strRef>
          </c:tx>
          <c:spPr>
            <a:solidFill>
              <a:srgbClr val="00BF63"/>
            </a:solidFill>
            <a:ln w="9525" cap="flat" cmpd="sng" algn="ctr">
              <a:noFill/>
              <a:round/>
            </a:ln>
            <a:effectLst>
              <a:outerShdw blurRad="40000" dist="20000" dir="5400000" rotWithShape="0">
                <a:srgbClr val="000000">
                  <a:alpha val="38000"/>
                </a:srgbClr>
              </a:outerShdw>
            </a:effectLst>
          </c:spPr>
          <c:invertIfNegative val="0"/>
          <c:dLbls>
            <c:dLbl>
              <c:idx val="0"/>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outEnd"/>
              <c:showLegendKey val="0"/>
              <c:showVal val="1"/>
              <c:showCatName val="0"/>
              <c:showSerName val="0"/>
              <c:showPercent val="0"/>
              <c:showBubbleSize val="0"/>
              <c:extLst>
                <c:ext xmlns:c16="http://schemas.microsoft.com/office/drawing/2014/chart" uri="{C3380CC4-5D6E-409C-BE32-E72D297353CC}">
                  <c16:uniqueId val="{00000000-A371-4C9D-8F68-ACD3C593E93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'Données patients'!$C$10:$D$10</c:f>
              <c:strCache>
                <c:ptCount val="2"/>
                <c:pt idx="0">
                  <c:v>Femme</c:v>
                </c:pt>
                <c:pt idx="1">
                  <c:v>Homme</c:v>
                </c:pt>
              </c:strCache>
            </c:strRef>
          </c:cat>
          <c:val>
            <c:numRef>
              <c:f>'Données patients'!$C$27:$D$27</c:f>
              <c:numCache>
                <c:formatCode>General</c:formatCode>
                <c:ptCount val="2"/>
                <c:pt idx="0">
                  <c:v>1</c:v>
                </c:pt>
                <c:pt idx="1">
                  <c:v>1</c:v>
                </c:pt>
              </c:numCache>
            </c:numRef>
          </c:val>
          <c:extLst>
            <c:ext xmlns:c16="http://schemas.microsoft.com/office/drawing/2014/chart" uri="{C3380CC4-5D6E-409C-BE32-E72D297353CC}">
              <c16:uniqueId val="{00000000-E363-45B4-A5DC-208728E4F965}"/>
            </c:ext>
          </c:extLst>
        </c:ser>
        <c:dLbls>
          <c:dLblPos val="inEnd"/>
          <c:showLegendKey val="0"/>
          <c:showVal val="1"/>
          <c:showCatName val="0"/>
          <c:showSerName val="0"/>
          <c:showPercent val="0"/>
          <c:showBubbleSize val="0"/>
        </c:dLbls>
        <c:gapWidth val="150"/>
        <c:axId val="1930810080"/>
        <c:axId val="1930797600"/>
      </c:barChart>
      <c:catAx>
        <c:axId val="1930810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fr-FR"/>
          </a:p>
        </c:txPr>
        <c:crossAx val="1930797600"/>
        <c:crosses val="autoZero"/>
        <c:auto val="1"/>
        <c:lblAlgn val="ctr"/>
        <c:lblOffset val="100"/>
        <c:noMultiLvlLbl val="0"/>
      </c:catAx>
      <c:valAx>
        <c:axId val="19307976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fr-FR"/>
          </a:p>
        </c:txPr>
        <c:crossAx val="19308100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00" b="0" i="0" u="none" strike="noStrike" kern="1200" spc="0" baseline="0">
                <a:solidFill>
                  <a:sysClr val="windowText" lastClr="000000">
                    <a:lumMod val="65000"/>
                    <a:lumOff val="35000"/>
                  </a:sysClr>
                </a:solidFill>
                <a:latin typeface="+mn-lt"/>
                <a:ea typeface="+mn-ea"/>
                <a:cs typeface="+mn-cs"/>
              </a:defRPr>
            </a:pPr>
            <a:r>
              <a:rPr lang="fr-FR" sz="900" b="0" i="0" u="none" strike="noStrike" kern="1200" spc="0" baseline="0">
                <a:solidFill>
                  <a:sysClr val="windowText" lastClr="000000">
                    <a:lumMod val="65000"/>
                    <a:lumOff val="35000"/>
                  </a:sysClr>
                </a:solidFill>
                <a:latin typeface="+mn-lt"/>
                <a:ea typeface="+mn-ea"/>
                <a:cs typeface="+mn-cs"/>
              </a:rPr>
              <a:t>Aides à la compréhension et à la mémorisation</a:t>
            </a:r>
          </a:p>
        </c:rich>
      </c:tx>
      <c:overlay val="0"/>
      <c:spPr>
        <a:noFill/>
        <a:ln>
          <a:noFill/>
        </a:ln>
        <a:effectLst/>
      </c:spPr>
      <c:txPr>
        <a:bodyPr rot="0" spcFirstLastPara="1" vertOverflow="ellipsis" vert="horz" wrap="square" anchor="ctr" anchorCtr="1"/>
        <a:lstStyle/>
        <a:p>
          <a:pPr algn="ctr" rtl="0">
            <a:defRPr lang="fr-FR" sz="900" b="0" i="0" u="none" strike="noStrike" kern="1200" spc="0" baseline="0">
              <a:solidFill>
                <a:sysClr val="windowText" lastClr="000000">
                  <a:lumMod val="65000"/>
                  <a:lumOff val="35000"/>
                </a:sysClr>
              </a:solidFill>
              <a:latin typeface="+mn-lt"/>
              <a:ea typeface="+mn-ea"/>
              <a:cs typeface="+mn-cs"/>
            </a:defRPr>
          </a:pPr>
          <a:endParaRPr lang="fr-FR"/>
        </a:p>
      </c:txPr>
    </c:title>
    <c:autoTitleDeleted val="0"/>
    <c:plotArea>
      <c:layout/>
      <c:barChart>
        <c:barDir val="col"/>
        <c:grouping val="clustered"/>
        <c:varyColors val="0"/>
        <c:ser>
          <c:idx val="1"/>
          <c:order val="0"/>
          <c:tx>
            <c:strRef>
              <c:f>'Données patients'!$B$54</c:f>
              <c:strCache>
                <c:ptCount val="1"/>
                <c:pt idx="0">
                  <c:v>Pose programmée</c:v>
                </c:pt>
              </c:strCache>
            </c:strRef>
          </c:tx>
          <c:spPr>
            <a:solidFill>
              <a:srgbClr val="38B6FF"/>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patients'!$C$10:$D$10</c:f>
              <c:strCache>
                <c:ptCount val="2"/>
                <c:pt idx="0">
                  <c:v>Femme</c:v>
                </c:pt>
                <c:pt idx="1">
                  <c:v>Homme</c:v>
                </c:pt>
              </c:strCache>
            </c:strRef>
          </c:cat>
          <c:val>
            <c:numRef>
              <c:f>'Données patients'!$C$54:$D$54</c:f>
              <c:numCache>
                <c:formatCode>General</c:formatCode>
                <c:ptCount val="2"/>
                <c:pt idx="0">
                  <c:v>13</c:v>
                </c:pt>
                <c:pt idx="1">
                  <c:v>16</c:v>
                </c:pt>
              </c:numCache>
            </c:numRef>
          </c:val>
          <c:extLst>
            <c:ext xmlns:c16="http://schemas.microsoft.com/office/drawing/2014/chart" uri="{C3380CC4-5D6E-409C-BE32-E72D297353CC}">
              <c16:uniqueId val="{00000001-3B05-4CE7-BA9F-2988B55F1098}"/>
            </c:ext>
          </c:extLst>
        </c:ser>
        <c:ser>
          <c:idx val="0"/>
          <c:order val="1"/>
          <c:tx>
            <c:strRef>
              <c:f>'Données patients'!$B$53</c:f>
              <c:strCache>
                <c:ptCount val="1"/>
                <c:pt idx="0">
                  <c:v>Expérience professionnelle ou associative en santé</c:v>
                </c:pt>
              </c:strCache>
            </c:strRef>
          </c:tx>
          <c:spPr>
            <a:solidFill>
              <a:srgbClr val="FFAB57"/>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patients'!$C$10:$D$10</c:f>
              <c:strCache>
                <c:ptCount val="2"/>
                <c:pt idx="0">
                  <c:v>Femme</c:v>
                </c:pt>
                <c:pt idx="1">
                  <c:v>Homme</c:v>
                </c:pt>
              </c:strCache>
            </c:strRef>
          </c:cat>
          <c:val>
            <c:numRef>
              <c:f>'Données patients'!$C$53:$D$53</c:f>
              <c:numCache>
                <c:formatCode>General</c:formatCode>
                <c:ptCount val="2"/>
                <c:pt idx="0">
                  <c:v>2</c:v>
                </c:pt>
                <c:pt idx="1">
                  <c:v>3</c:v>
                </c:pt>
              </c:numCache>
            </c:numRef>
          </c:val>
          <c:extLst>
            <c:ext xmlns:c16="http://schemas.microsoft.com/office/drawing/2014/chart" uri="{C3380CC4-5D6E-409C-BE32-E72D297353CC}">
              <c16:uniqueId val="{00000000-3B05-4CE7-BA9F-2988B55F1098}"/>
            </c:ext>
          </c:extLst>
        </c:ser>
        <c:ser>
          <c:idx val="2"/>
          <c:order val="2"/>
          <c:tx>
            <c:strRef>
              <c:f>'Données patients'!$B$55</c:f>
              <c:strCache>
                <c:ptCount val="1"/>
                <c:pt idx="0">
                  <c:v>Cumul : expérience en santé &amp; pose programmée</c:v>
                </c:pt>
              </c:strCache>
            </c:strRef>
          </c:tx>
          <c:spPr>
            <a:solidFill>
              <a:srgbClr val="00BF63"/>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patients'!$C$10:$D$10</c:f>
              <c:strCache>
                <c:ptCount val="2"/>
                <c:pt idx="0">
                  <c:v>Femme</c:v>
                </c:pt>
                <c:pt idx="1">
                  <c:v>Homme</c:v>
                </c:pt>
              </c:strCache>
            </c:strRef>
          </c:cat>
          <c:val>
            <c:numRef>
              <c:f>'Données patients'!$C$55:$D$55</c:f>
              <c:numCache>
                <c:formatCode>General</c:formatCode>
                <c:ptCount val="2"/>
                <c:pt idx="0">
                  <c:v>2</c:v>
                </c:pt>
                <c:pt idx="1">
                  <c:v>3</c:v>
                </c:pt>
              </c:numCache>
            </c:numRef>
          </c:val>
          <c:extLst>
            <c:ext xmlns:c16="http://schemas.microsoft.com/office/drawing/2014/chart" uri="{C3380CC4-5D6E-409C-BE32-E72D297353CC}">
              <c16:uniqueId val="{00000002-3B05-4CE7-BA9F-2988B55F1098}"/>
            </c:ext>
          </c:extLst>
        </c:ser>
        <c:dLbls>
          <c:dLblPos val="outEnd"/>
          <c:showLegendKey val="0"/>
          <c:showVal val="1"/>
          <c:showCatName val="0"/>
          <c:showSerName val="0"/>
          <c:showPercent val="0"/>
          <c:showBubbleSize val="0"/>
        </c:dLbls>
        <c:gapWidth val="219"/>
        <c:overlap val="-27"/>
        <c:axId val="1014904511"/>
        <c:axId val="1014900767"/>
      </c:barChart>
      <c:catAx>
        <c:axId val="10149045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14900767"/>
        <c:crosses val="autoZero"/>
        <c:auto val="1"/>
        <c:lblAlgn val="ctr"/>
        <c:lblOffset val="100"/>
        <c:noMultiLvlLbl val="0"/>
      </c:catAx>
      <c:valAx>
        <c:axId val="1014900767"/>
        <c:scaling>
          <c:orientation val="minMax"/>
          <c:max val="3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14904511"/>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00" b="0" i="0" u="none" strike="noStrike" kern="1200" spc="0" baseline="0">
                <a:solidFill>
                  <a:sysClr val="windowText" lastClr="000000">
                    <a:lumMod val="65000"/>
                    <a:lumOff val="35000"/>
                  </a:sysClr>
                </a:solidFill>
                <a:latin typeface="+mn-lt"/>
                <a:ea typeface="+mn-ea"/>
                <a:cs typeface="+mn-cs"/>
              </a:defRPr>
            </a:pPr>
            <a:r>
              <a:rPr lang="en-US" sz="900" b="0" i="0" u="none" strike="noStrike" kern="1200" spc="0" baseline="0">
                <a:solidFill>
                  <a:sysClr val="windowText" lastClr="000000">
                    <a:lumMod val="65000"/>
                    <a:lumOff val="35000"/>
                  </a:sysClr>
                </a:solidFill>
                <a:latin typeface="+mn-lt"/>
                <a:ea typeface="+mn-ea"/>
                <a:cs typeface="+mn-cs"/>
              </a:rPr>
              <a:t>Freins à la compréhension et la mémorisation</a:t>
            </a:r>
          </a:p>
        </c:rich>
      </c:tx>
      <c:overlay val="0"/>
      <c:spPr>
        <a:noFill/>
        <a:ln>
          <a:noFill/>
        </a:ln>
        <a:effectLst/>
      </c:spPr>
      <c:txPr>
        <a:bodyPr rot="0" spcFirstLastPara="1" vertOverflow="ellipsis" vert="horz" wrap="square" anchor="ctr" anchorCtr="1"/>
        <a:lstStyle/>
        <a:p>
          <a:pPr algn="ctr" rtl="0">
            <a:defRPr lang="fr-FR" sz="900" b="0" i="0" u="none" strike="noStrike" kern="1200" spc="0" baseline="0">
              <a:solidFill>
                <a:sysClr val="windowText" lastClr="000000">
                  <a:lumMod val="65000"/>
                  <a:lumOff val="35000"/>
                </a:sysClr>
              </a:solidFill>
              <a:latin typeface="+mn-lt"/>
              <a:ea typeface="+mn-ea"/>
              <a:cs typeface="+mn-cs"/>
            </a:defRPr>
          </a:pPr>
          <a:endParaRPr lang="fr-FR"/>
        </a:p>
      </c:txPr>
    </c:title>
    <c:autoTitleDeleted val="0"/>
    <c:plotArea>
      <c:layout/>
      <c:barChart>
        <c:barDir val="col"/>
        <c:grouping val="clustered"/>
        <c:varyColors val="0"/>
        <c:ser>
          <c:idx val="1"/>
          <c:order val="0"/>
          <c:tx>
            <c:strRef>
              <c:f>'Données patients'!$B$57</c:f>
              <c:strCache>
                <c:ptCount val="1"/>
                <c:pt idx="0">
                  <c:v>Pose en urgence</c:v>
                </c:pt>
              </c:strCache>
            </c:strRef>
          </c:tx>
          <c:spPr>
            <a:solidFill>
              <a:srgbClr val="38B6FF"/>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patients'!$C$10:$D$10</c:f>
              <c:strCache>
                <c:ptCount val="2"/>
                <c:pt idx="0">
                  <c:v>Femme</c:v>
                </c:pt>
                <c:pt idx="1">
                  <c:v>Homme</c:v>
                </c:pt>
              </c:strCache>
            </c:strRef>
          </c:cat>
          <c:val>
            <c:numRef>
              <c:f>'Données patients'!$C$57:$D$57</c:f>
              <c:numCache>
                <c:formatCode>General</c:formatCode>
                <c:ptCount val="2"/>
                <c:pt idx="0">
                  <c:v>1</c:v>
                </c:pt>
                <c:pt idx="1">
                  <c:v>0</c:v>
                </c:pt>
              </c:numCache>
            </c:numRef>
          </c:val>
          <c:extLst>
            <c:ext xmlns:c16="http://schemas.microsoft.com/office/drawing/2014/chart" uri="{C3380CC4-5D6E-409C-BE32-E72D297353CC}">
              <c16:uniqueId val="{00000001-B252-4E69-A5BF-108EF36D45AD}"/>
            </c:ext>
          </c:extLst>
        </c:ser>
        <c:ser>
          <c:idx val="0"/>
          <c:order val="1"/>
          <c:tx>
            <c:strRef>
              <c:f>'Données patients'!$B$56</c:f>
              <c:strCache>
                <c:ptCount val="1"/>
                <c:pt idx="0">
                  <c:v>Présence d'un handicap particulier</c:v>
                </c:pt>
              </c:strCache>
            </c:strRef>
          </c:tx>
          <c:spPr>
            <a:solidFill>
              <a:srgbClr val="FFAB57"/>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patients'!$C$10:$D$10</c:f>
              <c:strCache>
                <c:ptCount val="2"/>
                <c:pt idx="0">
                  <c:v>Femme</c:v>
                </c:pt>
                <c:pt idx="1">
                  <c:v>Homme</c:v>
                </c:pt>
              </c:strCache>
            </c:strRef>
          </c:cat>
          <c:val>
            <c:numRef>
              <c:f>'Données patients'!$C$56:$D$56</c:f>
              <c:numCache>
                <c:formatCode>General</c:formatCode>
                <c:ptCount val="2"/>
                <c:pt idx="0">
                  <c:v>4</c:v>
                </c:pt>
                <c:pt idx="1">
                  <c:v>2</c:v>
                </c:pt>
              </c:numCache>
            </c:numRef>
          </c:val>
          <c:extLst>
            <c:ext xmlns:c16="http://schemas.microsoft.com/office/drawing/2014/chart" uri="{C3380CC4-5D6E-409C-BE32-E72D297353CC}">
              <c16:uniqueId val="{00000000-B252-4E69-A5BF-108EF36D45AD}"/>
            </c:ext>
          </c:extLst>
        </c:ser>
        <c:ser>
          <c:idx val="2"/>
          <c:order val="2"/>
          <c:tx>
            <c:strRef>
              <c:f>'Données patients'!$B$58</c:f>
              <c:strCache>
                <c:ptCount val="1"/>
                <c:pt idx="0">
                  <c:v>Cumul : handicap &amp; pose en urgence</c:v>
                </c:pt>
              </c:strCache>
            </c:strRef>
          </c:tx>
          <c:spPr>
            <a:solidFill>
              <a:srgbClr val="C00000"/>
            </a:solidFill>
            <a:ln>
              <a:noFill/>
            </a:ln>
            <a:effectLst/>
          </c:spPr>
          <c:invertIfNegative val="0"/>
          <c:dLbls>
            <c:numFmt formatCode="\ 0\ ;\-0\ ;;\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'Données patients'!$C$10:$D$10</c:f>
              <c:strCache>
                <c:ptCount val="2"/>
                <c:pt idx="0">
                  <c:v>Femme</c:v>
                </c:pt>
                <c:pt idx="1">
                  <c:v>Homme</c:v>
                </c:pt>
              </c:strCache>
            </c:strRef>
          </c:cat>
          <c:val>
            <c:numRef>
              <c:f>'Données patients'!$C$58:$D$58</c:f>
              <c:numCache>
                <c:formatCode>General</c:formatCode>
                <c:ptCount val="2"/>
                <c:pt idx="0">
                  <c:v>0</c:v>
                </c:pt>
                <c:pt idx="1">
                  <c:v>0</c:v>
                </c:pt>
              </c:numCache>
            </c:numRef>
          </c:val>
          <c:extLst>
            <c:ext xmlns:c16="http://schemas.microsoft.com/office/drawing/2014/chart" uri="{C3380CC4-5D6E-409C-BE32-E72D297353CC}">
              <c16:uniqueId val="{00000002-B252-4E69-A5BF-108EF36D45AD}"/>
            </c:ext>
          </c:extLst>
        </c:ser>
        <c:dLbls>
          <c:dLblPos val="outEnd"/>
          <c:showLegendKey val="0"/>
          <c:showVal val="1"/>
          <c:showCatName val="0"/>
          <c:showSerName val="0"/>
          <c:showPercent val="0"/>
          <c:showBubbleSize val="0"/>
        </c:dLbls>
        <c:gapWidth val="219"/>
        <c:overlap val="-27"/>
        <c:axId val="1203899935"/>
        <c:axId val="1203892447"/>
      </c:barChart>
      <c:catAx>
        <c:axId val="12038999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03892447"/>
        <c:crosses val="autoZero"/>
        <c:auto val="1"/>
        <c:lblAlgn val="ctr"/>
        <c:lblOffset val="100"/>
        <c:noMultiLvlLbl val="0"/>
      </c:catAx>
      <c:valAx>
        <c:axId val="1203892447"/>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0389993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00" b="0" i="0" u="none" strike="noStrike" kern="1200" cap="none" spc="0" baseline="0">
                <a:solidFill>
                  <a:sysClr val="windowText" lastClr="000000">
                    <a:lumMod val="65000"/>
                    <a:lumOff val="35000"/>
                  </a:sysClr>
                </a:solidFill>
                <a:latin typeface="+mn-lt"/>
                <a:ea typeface="+mn-ea"/>
                <a:cs typeface="+mn-cs"/>
              </a:defRPr>
            </a:pPr>
            <a:r>
              <a:rPr lang="fr-FR" sz="900" b="0" i="0" u="none" strike="noStrike" kern="1200" cap="none" spc="0" baseline="0">
                <a:solidFill>
                  <a:sysClr val="windowText" lastClr="000000">
                    <a:lumMod val="65000"/>
                    <a:lumOff val="35000"/>
                  </a:sysClr>
                </a:solidFill>
                <a:latin typeface="+mn-lt"/>
                <a:ea typeface="+mn-ea"/>
                <a:cs typeface="+mn-cs"/>
              </a:rPr>
              <a:t>Répartition par classe d’âge  &amp; par genre</a:t>
            </a:r>
          </a:p>
        </c:rich>
      </c:tx>
      <c:overlay val="0"/>
      <c:spPr>
        <a:noFill/>
        <a:ln>
          <a:noFill/>
        </a:ln>
        <a:effectLst/>
      </c:spPr>
      <c:txPr>
        <a:bodyPr rot="0" spcFirstLastPara="1" vertOverflow="ellipsis" vert="horz" wrap="square" anchor="ctr" anchorCtr="1"/>
        <a:lstStyle/>
        <a:p>
          <a:pPr algn="ctr" rtl="0">
            <a:defRPr lang="fr-FR" sz="900" b="0" i="0" u="none" strike="noStrike" kern="1200" cap="none" spc="0" baseline="0">
              <a:solidFill>
                <a:sysClr val="windowText" lastClr="000000">
                  <a:lumMod val="65000"/>
                  <a:lumOff val="35000"/>
                </a:sysClr>
              </a:solidFill>
              <a:latin typeface="+mn-lt"/>
              <a:ea typeface="+mn-ea"/>
              <a:cs typeface="+mn-cs"/>
            </a:defRPr>
          </a:pPr>
          <a:endParaRPr lang="fr-FR"/>
        </a:p>
      </c:txPr>
    </c:title>
    <c:autoTitleDeleted val="0"/>
    <c:plotArea>
      <c:layout/>
      <c:barChart>
        <c:barDir val="bar"/>
        <c:grouping val="stacked"/>
        <c:varyColors val="0"/>
        <c:ser>
          <c:idx val="0"/>
          <c:order val="0"/>
          <c:tx>
            <c:strRef>
              <c:f>Feuil1!$F$1</c:f>
              <c:strCache>
                <c:ptCount val="1"/>
                <c:pt idx="0">
                  <c:v>Femme</c:v>
                </c:pt>
              </c:strCache>
            </c:strRef>
          </c:tx>
          <c:spPr>
            <a:solidFill>
              <a:srgbClr val="7030A0"/>
            </a:solidFill>
            <a:ln>
              <a:solidFill>
                <a:schemeClr val="bg1"/>
              </a:solidFill>
            </a:ln>
            <a:effectLst/>
          </c:spPr>
          <c:invertIfNegative val="0"/>
          <c:cat>
            <c:strRef>
              <c:f>Feuil1!$E$3:$E$9</c:f>
              <c:strCache>
                <c:ptCount val="7"/>
                <c:pt idx="0">
                  <c:v>[  0 - 14 ans]</c:v>
                </c:pt>
                <c:pt idx="1">
                  <c:v>[15 - 19 ans]</c:v>
                </c:pt>
                <c:pt idx="2">
                  <c:v>[20 - 29 ans]</c:v>
                </c:pt>
                <c:pt idx="3">
                  <c:v>[30 - 39 ans]</c:v>
                </c:pt>
                <c:pt idx="4">
                  <c:v>[50 - 59 ans]</c:v>
                </c:pt>
                <c:pt idx="5">
                  <c:v>[60 - 69 ans]</c:v>
                </c:pt>
                <c:pt idx="6">
                  <c:v>[70 ans et +[ </c:v>
                </c:pt>
              </c:strCache>
            </c:strRef>
          </c:cat>
          <c:val>
            <c:numRef>
              <c:f>Feuil1!$F$3:$F$9</c:f>
              <c:numCache>
                <c:formatCode>General</c:formatCode>
                <c:ptCount val="7"/>
                <c:pt idx="0">
                  <c:v>0</c:v>
                </c:pt>
                <c:pt idx="1">
                  <c:v>-2</c:v>
                </c:pt>
                <c:pt idx="2">
                  <c:v>-1</c:v>
                </c:pt>
                <c:pt idx="3">
                  <c:v>-1</c:v>
                </c:pt>
                <c:pt idx="4">
                  <c:v>-3</c:v>
                </c:pt>
                <c:pt idx="5">
                  <c:v>-4</c:v>
                </c:pt>
                <c:pt idx="6">
                  <c:v>0</c:v>
                </c:pt>
              </c:numCache>
            </c:numRef>
          </c:val>
          <c:extLst>
            <c:ext xmlns:c16="http://schemas.microsoft.com/office/drawing/2014/chart" uri="{C3380CC4-5D6E-409C-BE32-E72D297353CC}">
              <c16:uniqueId val="{00000000-445E-42EB-BD9D-452E798CF92E}"/>
            </c:ext>
          </c:extLst>
        </c:ser>
        <c:ser>
          <c:idx val="1"/>
          <c:order val="1"/>
          <c:tx>
            <c:strRef>
              <c:f>Feuil1!$G$1</c:f>
              <c:strCache>
                <c:ptCount val="1"/>
              </c:strCache>
            </c:strRef>
          </c:tx>
          <c:spPr>
            <a:solidFill>
              <a:srgbClr val="38B6FF"/>
            </a:solidFill>
            <a:ln>
              <a:solidFill>
                <a:schemeClr val="bg1"/>
              </a:solidFill>
            </a:ln>
            <a:effectLst/>
          </c:spPr>
          <c:invertIfNegative val="0"/>
          <c:cat>
            <c:strRef>
              <c:f>Feuil1!$E$3:$E$9</c:f>
              <c:strCache>
                <c:ptCount val="7"/>
                <c:pt idx="0">
                  <c:v>[  0 - 14 ans]</c:v>
                </c:pt>
                <c:pt idx="1">
                  <c:v>[15 - 19 ans]</c:v>
                </c:pt>
                <c:pt idx="2">
                  <c:v>[20 - 29 ans]</c:v>
                </c:pt>
                <c:pt idx="3">
                  <c:v>[30 - 39 ans]</c:v>
                </c:pt>
                <c:pt idx="4">
                  <c:v>[50 - 59 ans]</c:v>
                </c:pt>
                <c:pt idx="5">
                  <c:v>[60 - 69 ans]</c:v>
                </c:pt>
                <c:pt idx="6">
                  <c:v>[70 ans et +[ </c:v>
                </c:pt>
              </c:strCache>
            </c:strRef>
          </c:cat>
          <c:val>
            <c:numRef>
              <c:f>Feuil1!$G$3:$G$9</c:f>
              <c:numCache>
                <c:formatCode>General</c:formatCode>
                <c:ptCount val="7"/>
                <c:pt idx="0">
                  <c:v>-1</c:v>
                </c:pt>
                <c:pt idx="1">
                  <c:v>0</c:v>
                </c:pt>
                <c:pt idx="2">
                  <c:v>-1</c:v>
                </c:pt>
                <c:pt idx="3">
                  <c:v>0</c:v>
                </c:pt>
                <c:pt idx="4">
                  <c:v>0</c:v>
                </c:pt>
                <c:pt idx="5">
                  <c:v>0</c:v>
                </c:pt>
                <c:pt idx="6">
                  <c:v>0</c:v>
                </c:pt>
              </c:numCache>
            </c:numRef>
          </c:val>
          <c:extLst>
            <c:ext xmlns:c16="http://schemas.microsoft.com/office/drawing/2014/chart" uri="{C3380CC4-5D6E-409C-BE32-E72D297353CC}">
              <c16:uniqueId val="{00000001-445E-42EB-BD9D-452E798CF92E}"/>
            </c:ext>
          </c:extLst>
        </c:ser>
        <c:ser>
          <c:idx val="2"/>
          <c:order val="2"/>
          <c:tx>
            <c:strRef>
              <c:f>Feuil1!$H$1</c:f>
              <c:strCache>
                <c:ptCount val="1"/>
              </c:strCache>
            </c:strRef>
          </c:tx>
          <c:spPr>
            <a:solidFill>
              <a:srgbClr val="00BF63"/>
            </a:solidFill>
            <a:ln>
              <a:noFill/>
            </a:ln>
            <a:effectLst/>
          </c:spPr>
          <c:invertIfNegative val="0"/>
          <c:dPt>
            <c:idx val="5"/>
            <c:invertIfNegative val="0"/>
            <c:bubble3D val="0"/>
            <c:spPr>
              <a:solidFill>
                <a:srgbClr val="00BF63"/>
              </a:solidFill>
              <a:ln>
                <a:solidFill>
                  <a:schemeClr val="bg1"/>
                </a:solidFill>
              </a:ln>
              <a:effectLst/>
            </c:spPr>
            <c:extLst>
              <c:ext xmlns:c16="http://schemas.microsoft.com/office/drawing/2014/chart" uri="{C3380CC4-5D6E-409C-BE32-E72D297353CC}">
                <c16:uniqueId val="{00000003-445E-42EB-BD9D-452E798CF92E}"/>
              </c:ext>
            </c:extLst>
          </c:dPt>
          <c:cat>
            <c:strRef>
              <c:f>Feuil1!$E$3:$E$9</c:f>
              <c:strCache>
                <c:ptCount val="7"/>
                <c:pt idx="0">
                  <c:v>[  0 - 14 ans]</c:v>
                </c:pt>
                <c:pt idx="1">
                  <c:v>[15 - 19 ans]</c:v>
                </c:pt>
                <c:pt idx="2">
                  <c:v>[20 - 29 ans]</c:v>
                </c:pt>
                <c:pt idx="3">
                  <c:v>[30 - 39 ans]</c:v>
                </c:pt>
                <c:pt idx="4">
                  <c:v>[50 - 59 ans]</c:v>
                </c:pt>
                <c:pt idx="5">
                  <c:v>[60 - 69 ans]</c:v>
                </c:pt>
                <c:pt idx="6">
                  <c:v>[70 ans et +[ </c:v>
                </c:pt>
              </c:strCache>
            </c:strRef>
          </c:cat>
          <c:val>
            <c:numRef>
              <c:f>Feuil1!$H$3:$H$9</c:f>
              <c:numCache>
                <c:formatCode>General</c:formatCode>
                <c:ptCount val="7"/>
                <c:pt idx="0">
                  <c:v>0</c:v>
                </c:pt>
                <c:pt idx="1">
                  <c:v>0</c:v>
                </c:pt>
                <c:pt idx="2">
                  <c:v>0</c:v>
                </c:pt>
                <c:pt idx="3">
                  <c:v>0</c:v>
                </c:pt>
                <c:pt idx="4">
                  <c:v>0</c:v>
                </c:pt>
                <c:pt idx="5">
                  <c:v>-1</c:v>
                </c:pt>
                <c:pt idx="6">
                  <c:v>0</c:v>
                </c:pt>
              </c:numCache>
            </c:numRef>
          </c:val>
          <c:extLst>
            <c:ext xmlns:c16="http://schemas.microsoft.com/office/drawing/2014/chart" uri="{C3380CC4-5D6E-409C-BE32-E72D297353CC}">
              <c16:uniqueId val="{00000004-445E-42EB-BD9D-452E798CF92E}"/>
            </c:ext>
          </c:extLst>
        </c:ser>
        <c:ser>
          <c:idx val="3"/>
          <c:order val="3"/>
          <c:tx>
            <c:strRef>
              <c:f>Feuil1!$I$1</c:f>
              <c:strCache>
                <c:ptCount val="1"/>
                <c:pt idx="0">
                  <c:v>Homme</c:v>
                </c:pt>
              </c:strCache>
            </c:strRef>
          </c:tx>
          <c:spPr>
            <a:solidFill>
              <a:srgbClr val="7030A0"/>
            </a:solidFill>
            <a:ln>
              <a:solidFill>
                <a:schemeClr val="bg1"/>
              </a:solidFill>
            </a:ln>
            <a:effectLst/>
          </c:spPr>
          <c:invertIfNegative val="0"/>
          <c:cat>
            <c:strRef>
              <c:f>Feuil1!$E$3:$E$9</c:f>
              <c:strCache>
                <c:ptCount val="7"/>
                <c:pt idx="0">
                  <c:v>[  0 - 14 ans]</c:v>
                </c:pt>
                <c:pt idx="1">
                  <c:v>[15 - 19 ans]</c:v>
                </c:pt>
                <c:pt idx="2">
                  <c:v>[20 - 29 ans]</c:v>
                </c:pt>
                <c:pt idx="3">
                  <c:v>[30 - 39 ans]</c:v>
                </c:pt>
                <c:pt idx="4">
                  <c:v>[50 - 59 ans]</c:v>
                </c:pt>
                <c:pt idx="5">
                  <c:v>[60 - 69 ans]</c:v>
                </c:pt>
                <c:pt idx="6">
                  <c:v>[70 ans et +[ </c:v>
                </c:pt>
              </c:strCache>
            </c:strRef>
          </c:cat>
          <c:val>
            <c:numRef>
              <c:f>Feuil1!$I$3:$I$9</c:f>
              <c:numCache>
                <c:formatCode>General</c:formatCode>
                <c:ptCount val="7"/>
                <c:pt idx="0">
                  <c:v>0</c:v>
                </c:pt>
                <c:pt idx="1">
                  <c:v>2</c:v>
                </c:pt>
                <c:pt idx="2">
                  <c:v>2</c:v>
                </c:pt>
                <c:pt idx="3">
                  <c:v>2</c:v>
                </c:pt>
                <c:pt idx="4">
                  <c:v>1</c:v>
                </c:pt>
                <c:pt idx="5">
                  <c:v>1</c:v>
                </c:pt>
                <c:pt idx="6">
                  <c:v>3</c:v>
                </c:pt>
              </c:numCache>
            </c:numRef>
          </c:val>
          <c:extLst>
            <c:ext xmlns:c16="http://schemas.microsoft.com/office/drawing/2014/chart" uri="{C3380CC4-5D6E-409C-BE32-E72D297353CC}">
              <c16:uniqueId val="{00000005-445E-42EB-BD9D-452E798CF92E}"/>
            </c:ext>
          </c:extLst>
        </c:ser>
        <c:ser>
          <c:idx val="4"/>
          <c:order val="4"/>
          <c:tx>
            <c:strRef>
              <c:f>Feuil1!$J$1</c:f>
              <c:strCache>
                <c:ptCount val="1"/>
              </c:strCache>
            </c:strRef>
          </c:tx>
          <c:spPr>
            <a:solidFill>
              <a:srgbClr val="38B6FF"/>
            </a:solidFill>
            <a:ln>
              <a:solidFill>
                <a:schemeClr val="bg1"/>
              </a:solidFill>
            </a:ln>
            <a:effectLst/>
          </c:spPr>
          <c:invertIfNegative val="0"/>
          <c:cat>
            <c:strRef>
              <c:f>Feuil1!$E$3:$E$9</c:f>
              <c:strCache>
                <c:ptCount val="7"/>
                <c:pt idx="0">
                  <c:v>[  0 - 14 ans]</c:v>
                </c:pt>
                <c:pt idx="1">
                  <c:v>[15 - 19 ans]</c:v>
                </c:pt>
                <c:pt idx="2">
                  <c:v>[20 - 29 ans]</c:v>
                </c:pt>
                <c:pt idx="3">
                  <c:v>[30 - 39 ans]</c:v>
                </c:pt>
                <c:pt idx="4">
                  <c:v>[50 - 59 ans]</c:v>
                </c:pt>
                <c:pt idx="5">
                  <c:v>[60 - 69 ans]</c:v>
                </c:pt>
                <c:pt idx="6">
                  <c:v>[70 ans et +[ </c:v>
                </c:pt>
              </c:strCache>
            </c:strRef>
          </c:cat>
          <c:val>
            <c:numRef>
              <c:f>Feuil1!$J$3:$J$9</c:f>
              <c:numCache>
                <c:formatCode>General</c:formatCode>
                <c:ptCount val="7"/>
                <c:pt idx="0">
                  <c:v>0</c:v>
                </c:pt>
                <c:pt idx="1">
                  <c:v>1</c:v>
                </c:pt>
                <c:pt idx="2">
                  <c:v>0</c:v>
                </c:pt>
                <c:pt idx="3">
                  <c:v>1</c:v>
                </c:pt>
                <c:pt idx="4">
                  <c:v>1</c:v>
                </c:pt>
                <c:pt idx="5">
                  <c:v>1</c:v>
                </c:pt>
                <c:pt idx="6">
                  <c:v>0</c:v>
                </c:pt>
              </c:numCache>
            </c:numRef>
          </c:val>
          <c:extLst>
            <c:ext xmlns:c16="http://schemas.microsoft.com/office/drawing/2014/chart" uri="{C3380CC4-5D6E-409C-BE32-E72D297353CC}">
              <c16:uniqueId val="{00000006-445E-42EB-BD9D-452E798CF92E}"/>
            </c:ext>
          </c:extLst>
        </c:ser>
        <c:ser>
          <c:idx val="5"/>
          <c:order val="5"/>
          <c:tx>
            <c:strRef>
              <c:f>Feuil1!$K$1</c:f>
              <c:strCache>
                <c:ptCount val="1"/>
              </c:strCache>
            </c:strRef>
          </c:tx>
          <c:spPr>
            <a:solidFill>
              <a:srgbClr val="00BF63"/>
            </a:solidFill>
            <a:ln>
              <a:solidFill>
                <a:schemeClr val="bg1"/>
              </a:solidFill>
            </a:ln>
            <a:effectLst/>
          </c:spPr>
          <c:invertIfNegative val="0"/>
          <c:cat>
            <c:strRef>
              <c:f>Feuil1!$E$3:$E$9</c:f>
              <c:strCache>
                <c:ptCount val="7"/>
                <c:pt idx="0">
                  <c:v>[  0 - 14 ans]</c:v>
                </c:pt>
                <c:pt idx="1">
                  <c:v>[15 - 19 ans]</c:v>
                </c:pt>
                <c:pt idx="2">
                  <c:v>[20 - 29 ans]</c:v>
                </c:pt>
                <c:pt idx="3">
                  <c:v>[30 - 39 ans]</c:v>
                </c:pt>
                <c:pt idx="4">
                  <c:v>[50 - 59 ans]</c:v>
                </c:pt>
                <c:pt idx="5">
                  <c:v>[60 - 69 ans]</c:v>
                </c:pt>
                <c:pt idx="6">
                  <c:v>[70 ans et +[ </c:v>
                </c:pt>
              </c:strCache>
            </c:strRef>
          </c:cat>
          <c:val>
            <c:numRef>
              <c:f>Feuil1!$K$3:$K$9</c:f>
              <c:numCache>
                <c:formatCode>General</c:formatCode>
                <c:ptCount val="7"/>
                <c:pt idx="0">
                  <c:v>0</c:v>
                </c:pt>
                <c:pt idx="1">
                  <c:v>0</c:v>
                </c:pt>
                <c:pt idx="2">
                  <c:v>0</c:v>
                </c:pt>
                <c:pt idx="3">
                  <c:v>0</c:v>
                </c:pt>
                <c:pt idx="4">
                  <c:v>0</c:v>
                </c:pt>
                <c:pt idx="5">
                  <c:v>0</c:v>
                </c:pt>
                <c:pt idx="6">
                  <c:v>1</c:v>
                </c:pt>
              </c:numCache>
            </c:numRef>
          </c:val>
          <c:extLst>
            <c:ext xmlns:c16="http://schemas.microsoft.com/office/drawing/2014/chart" uri="{C3380CC4-5D6E-409C-BE32-E72D297353CC}">
              <c16:uniqueId val="{00000007-445E-42EB-BD9D-452E798CF92E}"/>
            </c:ext>
          </c:extLst>
        </c:ser>
        <c:dLbls>
          <c:showLegendKey val="0"/>
          <c:showVal val="0"/>
          <c:showCatName val="0"/>
          <c:showSerName val="0"/>
          <c:showPercent val="0"/>
          <c:showBubbleSize val="0"/>
        </c:dLbls>
        <c:gapWidth val="0"/>
        <c:overlap val="100"/>
        <c:axId val="14495264"/>
        <c:axId val="14495680"/>
      </c:barChart>
      <c:catAx>
        <c:axId val="14495264"/>
        <c:scaling>
          <c:orientation val="minMax"/>
        </c:scaling>
        <c:delete val="0"/>
        <c:axPos val="l"/>
        <c:numFmt formatCode="General" sourceLinked="1"/>
        <c:majorTickMark val="none"/>
        <c:minorTickMark val="none"/>
        <c:tickLblPos val="low"/>
        <c:spPr>
          <a:noFill/>
          <a:ln w="9525" cap="flat" cmpd="sng" algn="ctr">
            <a:noFill/>
            <a:round/>
          </a:ln>
          <a:effectLst/>
        </c:spPr>
        <c:txPr>
          <a:bodyPr rot="-60000000" spcFirstLastPara="1" vertOverflow="ellipsis" vert="horz" wrap="square" anchor="t" anchorCtr="0"/>
          <a:lstStyle/>
          <a:p>
            <a:pPr>
              <a:defRPr sz="900" b="0" i="0" u="none" strike="noStrike" kern="1200" baseline="0">
                <a:solidFill>
                  <a:schemeClr val="tx1">
                    <a:lumMod val="65000"/>
                    <a:lumOff val="35000"/>
                  </a:schemeClr>
                </a:solidFill>
                <a:latin typeface="+mn-lt"/>
                <a:ea typeface="+mn-ea"/>
                <a:cs typeface="+mn-cs"/>
              </a:defRPr>
            </a:pPr>
            <a:endParaRPr lang="fr-FR"/>
          </a:p>
        </c:txPr>
        <c:crossAx val="14495680"/>
        <c:crosses val="autoZero"/>
        <c:auto val="1"/>
        <c:lblAlgn val="ctr"/>
        <c:lblOffset val="100"/>
        <c:noMultiLvlLbl val="0"/>
      </c:catAx>
      <c:valAx>
        <c:axId val="14495680"/>
        <c:scaling>
          <c:orientation val="minMax"/>
        </c:scaling>
        <c:delete val="1"/>
        <c:axPos val="b"/>
        <c:majorGridlines>
          <c:spPr>
            <a:ln w="9525" cap="flat" cmpd="sng" algn="ctr">
              <a:solidFill>
                <a:schemeClr val="tx1">
                  <a:lumMod val="15000"/>
                  <a:lumOff val="85000"/>
                </a:schemeClr>
              </a:solidFill>
              <a:prstDash val="sysDot"/>
              <a:round/>
            </a:ln>
            <a:effectLst/>
          </c:spPr>
        </c:majorGridlines>
        <c:numFmt formatCode="General" sourceLinked="1"/>
        <c:majorTickMark val="none"/>
        <c:minorTickMark val="none"/>
        <c:tickLblPos val="nextTo"/>
        <c:crossAx val="14495264"/>
        <c:crosses val="autoZero"/>
        <c:crossBetween val="between"/>
      </c:valAx>
      <c:spPr>
        <a:noFill/>
        <a:ln>
          <a:solidFill>
            <a:schemeClr val="tx1">
              <a:lumMod val="15000"/>
              <a:lumOff val="85000"/>
            </a:schemeClr>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fr-FR" sz="1050" baseline="0"/>
              <a:t>Réponses ‘Je ne sais pas/plus’ pour les patients </a:t>
            </a:r>
            <a:r>
              <a:rPr lang="fr-FR" sz="1050" b="0" i="0" u="none" strike="noStrike" baseline="0">
                <a:effectLst/>
              </a:rPr>
              <a:t>concernés par une pose d'implant programmée </a:t>
            </a:r>
            <a:r>
              <a:rPr lang="fr-FR" sz="1050" baseline="0"/>
              <a:t>selon l'âge du patient et le temps écoulé depuis la pose d'implant</a:t>
            </a:r>
            <a:endParaRPr lang="fr-FR" sz="1050"/>
          </a:p>
        </c:rich>
      </c:tx>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'Données patients'!$C$73</c:f>
              <c:strCache>
                <c:ptCount val="1"/>
                <c:pt idx="0">
                  <c:v>Accord de soins écrit et signé</c:v>
                </c:pt>
              </c:strCache>
            </c:strRef>
          </c:tx>
          <c:spPr>
            <a:solidFill>
              <a:srgbClr val="004AAD"/>
            </a:solidFill>
            <a:ln>
              <a:noFill/>
            </a:ln>
            <a:effectLst/>
          </c:spPr>
          <c:invertIfNegative val="0"/>
          <c:cat>
            <c:multiLvlStrRef>
              <c:f>'Données patients'!$A$74:$B$108</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patients'!$C$74:$C$108</c:f>
              <c:numCache>
                <c:formatCode>0</c:formatCode>
                <c:ptCount val="35"/>
                <c:pt idx="0">
                  <c:v>0</c:v>
                </c:pt>
                <c:pt idx="1">
                  <c:v>0</c:v>
                </c:pt>
                <c:pt idx="2">
                  <c:v>0</c:v>
                </c:pt>
                <c:pt idx="3">
                  <c:v>0</c:v>
                </c:pt>
                <c:pt idx="4">
                  <c:v>0</c:v>
                </c:pt>
                <c:pt idx="5">
                  <c:v>4</c:v>
                </c:pt>
                <c:pt idx="6">
                  <c:v>0</c:v>
                </c:pt>
                <c:pt idx="7">
                  <c:v>1</c:v>
                </c:pt>
                <c:pt idx="8">
                  <c:v>0</c:v>
                </c:pt>
                <c:pt idx="9">
                  <c:v>0</c:v>
                </c:pt>
                <c:pt idx="10">
                  <c:v>3</c:v>
                </c:pt>
                <c:pt idx="11">
                  <c:v>0</c:v>
                </c:pt>
                <c:pt idx="12">
                  <c:v>0</c:v>
                </c:pt>
                <c:pt idx="13">
                  <c:v>1</c:v>
                </c:pt>
                <c:pt idx="14">
                  <c:v>0</c:v>
                </c:pt>
                <c:pt idx="15">
                  <c:v>3</c:v>
                </c:pt>
                <c:pt idx="16">
                  <c:v>0</c:v>
                </c:pt>
                <c:pt idx="17">
                  <c:v>0</c:v>
                </c:pt>
                <c:pt idx="18">
                  <c:v>0</c:v>
                </c:pt>
                <c:pt idx="19">
                  <c:v>1</c:v>
                </c:pt>
                <c:pt idx="20">
                  <c:v>4</c:v>
                </c:pt>
                <c:pt idx="21">
                  <c:v>1</c:v>
                </c:pt>
                <c:pt idx="22">
                  <c:v>0</c:v>
                </c:pt>
                <c:pt idx="23">
                  <c:v>0</c:v>
                </c:pt>
                <c:pt idx="24">
                  <c:v>0</c:v>
                </c:pt>
                <c:pt idx="25">
                  <c:v>6</c:v>
                </c:pt>
                <c:pt idx="26">
                  <c:v>0</c:v>
                </c:pt>
                <c:pt idx="27">
                  <c:v>0</c:v>
                </c:pt>
                <c:pt idx="28">
                  <c:v>1</c:v>
                </c:pt>
                <c:pt idx="29">
                  <c:v>0</c:v>
                </c:pt>
                <c:pt idx="30">
                  <c:v>4</c:v>
                </c:pt>
                <c:pt idx="31">
                  <c:v>0</c:v>
                </c:pt>
                <c:pt idx="32">
                  <c:v>0</c:v>
                </c:pt>
                <c:pt idx="33">
                  <c:v>0</c:v>
                </c:pt>
                <c:pt idx="34">
                  <c:v>0</c:v>
                </c:pt>
              </c:numCache>
            </c:numRef>
          </c:val>
          <c:extLst>
            <c:ext xmlns:c16="http://schemas.microsoft.com/office/drawing/2014/chart" uri="{C3380CC4-5D6E-409C-BE32-E72D297353CC}">
              <c16:uniqueId val="{00000000-A756-4F79-B39F-39E39365E0ED}"/>
            </c:ext>
          </c:extLst>
        </c:ser>
        <c:ser>
          <c:idx val="3"/>
          <c:order val="1"/>
          <c:tx>
            <c:strRef>
              <c:f>'Données patients'!$D$73</c:f>
              <c:strCache>
                <c:ptCount val="1"/>
                <c:pt idx="0">
                  <c:v>Contenu de la carte implant</c:v>
                </c:pt>
              </c:strCache>
            </c:strRef>
          </c:tx>
          <c:spPr>
            <a:solidFill>
              <a:srgbClr val="FFC000"/>
            </a:solidFill>
            <a:ln>
              <a:noFill/>
            </a:ln>
            <a:effectLst/>
          </c:spPr>
          <c:invertIfNegative val="0"/>
          <c:cat>
            <c:multiLvlStrRef>
              <c:f>'Données patients'!$A$74:$B$108</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patients'!$D$74:$D$108</c:f>
              <c:numCache>
                <c:formatCode>0</c:formatCode>
                <c:ptCount val="35"/>
                <c:pt idx="0">
                  <c:v>0</c:v>
                </c:pt>
                <c:pt idx="1">
                  <c:v>0</c:v>
                </c:pt>
                <c:pt idx="2">
                  <c:v>0</c:v>
                </c:pt>
                <c:pt idx="3">
                  <c:v>0</c:v>
                </c:pt>
                <c:pt idx="4">
                  <c:v>0</c:v>
                </c:pt>
                <c:pt idx="5">
                  <c:v>4</c:v>
                </c:pt>
                <c:pt idx="6">
                  <c:v>0</c:v>
                </c:pt>
                <c:pt idx="7">
                  <c:v>1</c:v>
                </c:pt>
                <c:pt idx="8">
                  <c:v>0</c:v>
                </c:pt>
                <c:pt idx="9">
                  <c:v>0</c:v>
                </c:pt>
                <c:pt idx="10">
                  <c:v>3</c:v>
                </c:pt>
                <c:pt idx="11">
                  <c:v>0</c:v>
                </c:pt>
                <c:pt idx="12">
                  <c:v>0</c:v>
                </c:pt>
                <c:pt idx="13">
                  <c:v>1</c:v>
                </c:pt>
                <c:pt idx="14">
                  <c:v>0</c:v>
                </c:pt>
                <c:pt idx="15">
                  <c:v>3</c:v>
                </c:pt>
                <c:pt idx="16">
                  <c:v>0</c:v>
                </c:pt>
                <c:pt idx="17">
                  <c:v>0</c:v>
                </c:pt>
                <c:pt idx="18">
                  <c:v>0</c:v>
                </c:pt>
                <c:pt idx="19">
                  <c:v>1</c:v>
                </c:pt>
                <c:pt idx="20">
                  <c:v>4</c:v>
                </c:pt>
                <c:pt idx="21">
                  <c:v>1</c:v>
                </c:pt>
                <c:pt idx="22">
                  <c:v>0</c:v>
                </c:pt>
                <c:pt idx="23">
                  <c:v>0</c:v>
                </c:pt>
                <c:pt idx="24">
                  <c:v>0</c:v>
                </c:pt>
                <c:pt idx="25">
                  <c:v>6</c:v>
                </c:pt>
                <c:pt idx="26">
                  <c:v>0</c:v>
                </c:pt>
                <c:pt idx="27">
                  <c:v>0</c:v>
                </c:pt>
                <c:pt idx="28">
                  <c:v>1</c:v>
                </c:pt>
                <c:pt idx="29">
                  <c:v>0</c:v>
                </c:pt>
                <c:pt idx="30">
                  <c:v>4</c:v>
                </c:pt>
                <c:pt idx="31">
                  <c:v>0</c:v>
                </c:pt>
                <c:pt idx="32">
                  <c:v>0</c:v>
                </c:pt>
                <c:pt idx="33">
                  <c:v>0</c:v>
                </c:pt>
                <c:pt idx="34">
                  <c:v>0</c:v>
                </c:pt>
              </c:numCache>
            </c:numRef>
          </c:val>
          <c:extLst>
            <c:ext xmlns:c16="http://schemas.microsoft.com/office/drawing/2014/chart" uri="{C3380CC4-5D6E-409C-BE32-E72D297353CC}">
              <c16:uniqueId val="{00000000-8AAB-4737-AA66-5D2B98ED7D24}"/>
            </c:ext>
          </c:extLst>
        </c:ser>
        <c:ser>
          <c:idx val="4"/>
          <c:order val="2"/>
          <c:tx>
            <c:strRef>
              <c:f>'Données patients'!$E$73</c:f>
              <c:strCache>
                <c:ptCount val="1"/>
                <c:pt idx="0">
                  <c:v>Rôle de la carte implant</c:v>
                </c:pt>
              </c:strCache>
            </c:strRef>
          </c:tx>
          <c:spPr>
            <a:solidFill>
              <a:srgbClr val="FFFF00"/>
            </a:solidFill>
            <a:ln>
              <a:noFill/>
            </a:ln>
            <a:effectLst/>
          </c:spPr>
          <c:invertIfNegative val="0"/>
          <c:cat>
            <c:multiLvlStrRef>
              <c:f>'Données patients'!$A$74:$B$108</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patients'!$E$74:$E$108</c:f>
              <c:numCache>
                <c:formatCode>0</c:formatCode>
                <c:ptCount val="35"/>
                <c:pt idx="0">
                  <c:v>0</c:v>
                </c:pt>
                <c:pt idx="1">
                  <c:v>0</c:v>
                </c:pt>
                <c:pt idx="2">
                  <c:v>0</c:v>
                </c:pt>
                <c:pt idx="3">
                  <c:v>0</c:v>
                </c:pt>
                <c:pt idx="4">
                  <c:v>0</c:v>
                </c:pt>
                <c:pt idx="5">
                  <c:v>4</c:v>
                </c:pt>
                <c:pt idx="6">
                  <c:v>0</c:v>
                </c:pt>
                <c:pt idx="7">
                  <c:v>1</c:v>
                </c:pt>
                <c:pt idx="8">
                  <c:v>0</c:v>
                </c:pt>
                <c:pt idx="9">
                  <c:v>0</c:v>
                </c:pt>
                <c:pt idx="10">
                  <c:v>3</c:v>
                </c:pt>
                <c:pt idx="11">
                  <c:v>0</c:v>
                </c:pt>
                <c:pt idx="12">
                  <c:v>0</c:v>
                </c:pt>
                <c:pt idx="13">
                  <c:v>1</c:v>
                </c:pt>
                <c:pt idx="14">
                  <c:v>0</c:v>
                </c:pt>
                <c:pt idx="15">
                  <c:v>3</c:v>
                </c:pt>
                <c:pt idx="16">
                  <c:v>0</c:v>
                </c:pt>
                <c:pt idx="17">
                  <c:v>0</c:v>
                </c:pt>
                <c:pt idx="18">
                  <c:v>0</c:v>
                </c:pt>
                <c:pt idx="19">
                  <c:v>1</c:v>
                </c:pt>
                <c:pt idx="20">
                  <c:v>4</c:v>
                </c:pt>
                <c:pt idx="21">
                  <c:v>1</c:v>
                </c:pt>
                <c:pt idx="22">
                  <c:v>0</c:v>
                </c:pt>
                <c:pt idx="23">
                  <c:v>0</c:v>
                </c:pt>
                <c:pt idx="24">
                  <c:v>0</c:v>
                </c:pt>
                <c:pt idx="25">
                  <c:v>6</c:v>
                </c:pt>
                <c:pt idx="26">
                  <c:v>0</c:v>
                </c:pt>
                <c:pt idx="27">
                  <c:v>0</c:v>
                </c:pt>
                <c:pt idx="28">
                  <c:v>1</c:v>
                </c:pt>
                <c:pt idx="29">
                  <c:v>0</c:v>
                </c:pt>
                <c:pt idx="30">
                  <c:v>4</c:v>
                </c:pt>
                <c:pt idx="31">
                  <c:v>0</c:v>
                </c:pt>
                <c:pt idx="32">
                  <c:v>0</c:v>
                </c:pt>
                <c:pt idx="33">
                  <c:v>0</c:v>
                </c:pt>
                <c:pt idx="34">
                  <c:v>0</c:v>
                </c:pt>
              </c:numCache>
            </c:numRef>
          </c:val>
          <c:extLst>
            <c:ext xmlns:c16="http://schemas.microsoft.com/office/drawing/2014/chart" uri="{C3380CC4-5D6E-409C-BE32-E72D297353CC}">
              <c16:uniqueId val="{00000001-8AAB-4737-AA66-5D2B98ED7D24}"/>
            </c:ext>
          </c:extLst>
        </c:ser>
        <c:ser>
          <c:idx val="2"/>
          <c:order val="3"/>
          <c:tx>
            <c:strRef>
              <c:f>'Données patients'!$F$73</c:f>
              <c:strCache>
                <c:ptCount val="1"/>
                <c:pt idx="0">
                  <c:v>Prévenir les soignants</c:v>
                </c:pt>
              </c:strCache>
            </c:strRef>
          </c:tx>
          <c:spPr>
            <a:solidFill>
              <a:srgbClr val="00B050"/>
            </a:solidFill>
            <a:ln>
              <a:noFill/>
            </a:ln>
            <a:effectLst/>
          </c:spPr>
          <c:invertIfNegative val="0"/>
          <c:cat>
            <c:multiLvlStrRef>
              <c:f>'Données patients'!$A$74:$B$108</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patients'!$F$74:$F$108</c:f>
              <c:numCache>
                <c:formatCode>0</c:formatCode>
                <c:ptCount val="35"/>
                <c:pt idx="0">
                  <c:v>0</c:v>
                </c:pt>
                <c:pt idx="1">
                  <c:v>0</c:v>
                </c:pt>
                <c:pt idx="2">
                  <c:v>0</c:v>
                </c:pt>
                <c:pt idx="3">
                  <c:v>0</c:v>
                </c:pt>
                <c:pt idx="4">
                  <c:v>0</c:v>
                </c:pt>
                <c:pt idx="5">
                  <c:v>4</c:v>
                </c:pt>
                <c:pt idx="6">
                  <c:v>0</c:v>
                </c:pt>
                <c:pt idx="7">
                  <c:v>1</c:v>
                </c:pt>
                <c:pt idx="8">
                  <c:v>0</c:v>
                </c:pt>
                <c:pt idx="9">
                  <c:v>0</c:v>
                </c:pt>
                <c:pt idx="10">
                  <c:v>3</c:v>
                </c:pt>
                <c:pt idx="11">
                  <c:v>0</c:v>
                </c:pt>
                <c:pt idx="12">
                  <c:v>0</c:v>
                </c:pt>
                <c:pt idx="13">
                  <c:v>1</c:v>
                </c:pt>
                <c:pt idx="14">
                  <c:v>0</c:v>
                </c:pt>
                <c:pt idx="15">
                  <c:v>3</c:v>
                </c:pt>
                <c:pt idx="16">
                  <c:v>0</c:v>
                </c:pt>
                <c:pt idx="17">
                  <c:v>0</c:v>
                </c:pt>
                <c:pt idx="18">
                  <c:v>0</c:v>
                </c:pt>
                <c:pt idx="19">
                  <c:v>1</c:v>
                </c:pt>
                <c:pt idx="20">
                  <c:v>4</c:v>
                </c:pt>
                <c:pt idx="21">
                  <c:v>1</c:v>
                </c:pt>
                <c:pt idx="22">
                  <c:v>0</c:v>
                </c:pt>
                <c:pt idx="23">
                  <c:v>0</c:v>
                </c:pt>
                <c:pt idx="24">
                  <c:v>0</c:v>
                </c:pt>
                <c:pt idx="25">
                  <c:v>6</c:v>
                </c:pt>
                <c:pt idx="26">
                  <c:v>0</c:v>
                </c:pt>
                <c:pt idx="27">
                  <c:v>0</c:v>
                </c:pt>
                <c:pt idx="28">
                  <c:v>1</c:v>
                </c:pt>
                <c:pt idx="29">
                  <c:v>0</c:v>
                </c:pt>
                <c:pt idx="30">
                  <c:v>4</c:v>
                </c:pt>
                <c:pt idx="31">
                  <c:v>0</c:v>
                </c:pt>
                <c:pt idx="32">
                  <c:v>0</c:v>
                </c:pt>
                <c:pt idx="33">
                  <c:v>0</c:v>
                </c:pt>
                <c:pt idx="34">
                  <c:v>0</c:v>
                </c:pt>
              </c:numCache>
            </c:numRef>
          </c:val>
          <c:extLst>
            <c:ext xmlns:c16="http://schemas.microsoft.com/office/drawing/2014/chart" uri="{C3380CC4-5D6E-409C-BE32-E72D297353CC}">
              <c16:uniqueId val="{00000002-A756-4F79-B39F-39E39365E0ED}"/>
            </c:ext>
          </c:extLst>
        </c:ser>
        <c:ser>
          <c:idx val="1"/>
          <c:order val="4"/>
          <c:tx>
            <c:strRef>
              <c:f>'Données patients'!$G$73</c:f>
              <c:strCache>
                <c:ptCount val="1"/>
                <c:pt idx="0">
                  <c:v>Traçabilité &amp; DMP</c:v>
                </c:pt>
              </c:strCache>
            </c:strRef>
          </c:tx>
          <c:spPr>
            <a:solidFill>
              <a:srgbClr val="FF00FF"/>
            </a:solidFill>
            <a:ln>
              <a:noFill/>
            </a:ln>
            <a:effectLst/>
          </c:spPr>
          <c:invertIfNegative val="0"/>
          <c:cat>
            <c:multiLvlStrRef>
              <c:f>'Données patients'!$A$74:$B$108</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patients'!$G$74:$G$108</c:f>
              <c:numCache>
                <c:formatCode>0</c:formatCode>
                <c:ptCount val="35"/>
                <c:pt idx="0">
                  <c:v>0</c:v>
                </c:pt>
                <c:pt idx="1">
                  <c:v>0</c:v>
                </c:pt>
                <c:pt idx="2">
                  <c:v>0</c:v>
                </c:pt>
                <c:pt idx="3">
                  <c:v>0</c:v>
                </c:pt>
                <c:pt idx="4">
                  <c:v>0</c:v>
                </c:pt>
                <c:pt idx="5">
                  <c:v>3</c:v>
                </c:pt>
                <c:pt idx="6">
                  <c:v>0</c:v>
                </c:pt>
                <c:pt idx="7">
                  <c:v>0</c:v>
                </c:pt>
                <c:pt idx="8">
                  <c:v>0</c:v>
                </c:pt>
                <c:pt idx="9">
                  <c:v>0</c:v>
                </c:pt>
                <c:pt idx="10">
                  <c:v>2</c:v>
                </c:pt>
                <c:pt idx="11">
                  <c:v>0</c:v>
                </c:pt>
                <c:pt idx="12">
                  <c:v>0</c:v>
                </c:pt>
                <c:pt idx="13">
                  <c:v>0</c:v>
                </c:pt>
                <c:pt idx="14">
                  <c:v>0</c:v>
                </c:pt>
                <c:pt idx="15">
                  <c:v>1</c:v>
                </c:pt>
                <c:pt idx="16">
                  <c:v>0</c:v>
                </c:pt>
                <c:pt idx="17">
                  <c:v>0</c:v>
                </c:pt>
                <c:pt idx="18">
                  <c:v>0</c:v>
                </c:pt>
                <c:pt idx="19">
                  <c:v>1</c:v>
                </c:pt>
                <c:pt idx="20">
                  <c:v>2</c:v>
                </c:pt>
                <c:pt idx="21">
                  <c:v>1</c:v>
                </c:pt>
                <c:pt idx="22">
                  <c:v>0</c:v>
                </c:pt>
                <c:pt idx="23">
                  <c:v>0</c:v>
                </c:pt>
                <c:pt idx="24">
                  <c:v>0</c:v>
                </c:pt>
                <c:pt idx="25">
                  <c:v>4</c:v>
                </c:pt>
                <c:pt idx="26">
                  <c:v>0</c:v>
                </c:pt>
                <c:pt idx="27">
                  <c:v>0</c:v>
                </c:pt>
                <c:pt idx="28">
                  <c:v>1</c:v>
                </c:pt>
                <c:pt idx="29">
                  <c:v>0</c:v>
                </c:pt>
                <c:pt idx="30">
                  <c:v>3</c:v>
                </c:pt>
                <c:pt idx="31">
                  <c:v>0</c:v>
                </c:pt>
                <c:pt idx="32">
                  <c:v>0</c:v>
                </c:pt>
                <c:pt idx="33">
                  <c:v>0</c:v>
                </c:pt>
                <c:pt idx="34">
                  <c:v>0</c:v>
                </c:pt>
              </c:numCache>
            </c:numRef>
          </c:val>
          <c:extLst>
            <c:ext xmlns:c16="http://schemas.microsoft.com/office/drawing/2014/chart" uri="{C3380CC4-5D6E-409C-BE32-E72D297353CC}">
              <c16:uniqueId val="{00000001-A756-4F79-B39F-39E39365E0ED}"/>
            </c:ext>
          </c:extLst>
        </c:ser>
        <c:ser>
          <c:idx val="5"/>
          <c:order val="5"/>
          <c:tx>
            <c:strRef>
              <c:f>'Données patients'!$H$73</c:f>
              <c:strCache>
                <c:ptCount val="1"/>
                <c:pt idx="0">
                  <c:v>Aucun document remis</c:v>
                </c:pt>
              </c:strCache>
            </c:strRef>
          </c:tx>
          <c:spPr>
            <a:solidFill>
              <a:schemeClr val="tx1"/>
            </a:solidFill>
            <a:ln>
              <a:noFill/>
            </a:ln>
            <a:effectLst/>
          </c:spPr>
          <c:invertIfNegative val="0"/>
          <c:cat>
            <c:multiLvlStrRef>
              <c:f>'Données patients'!$A$74:$B$108</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patients'!$H$74:$H$108</c:f>
              <c:numCache>
                <c:formatCode>0</c:formatCode>
                <c:ptCount val="35"/>
                <c:pt idx="0">
                  <c:v>0</c:v>
                </c:pt>
                <c:pt idx="1">
                  <c:v>0</c:v>
                </c:pt>
                <c:pt idx="2">
                  <c:v>0</c:v>
                </c:pt>
                <c:pt idx="3">
                  <c:v>0</c:v>
                </c:pt>
                <c:pt idx="4">
                  <c:v>0</c:v>
                </c:pt>
                <c:pt idx="5">
                  <c:v>2</c:v>
                </c:pt>
                <c:pt idx="6">
                  <c:v>0</c:v>
                </c:pt>
                <c:pt idx="7">
                  <c:v>1</c:v>
                </c:pt>
                <c:pt idx="8">
                  <c:v>0</c:v>
                </c:pt>
                <c:pt idx="9">
                  <c:v>0</c:v>
                </c:pt>
                <c:pt idx="10">
                  <c:v>2</c:v>
                </c:pt>
                <c:pt idx="11">
                  <c:v>0</c:v>
                </c:pt>
                <c:pt idx="12">
                  <c:v>0</c:v>
                </c:pt>
                <c:pt idx="13">
                  <c:v>0</c:v>
                </c:pt>
                <c:pt idx="14">
                  <c:v>0</c:v>
                </c:pt>
                <c:pt idx="15">
                  <c:v>1</c:v>
                </c:pt>
                <c:pt idx="16">
                  <c:v>0</c:v>
                </c:pt>
                <c:pt idx="17">
                  <c:v>0</c:v>
                </c:pt>
                <c:pt idx="18">
                  <c:v>0</c:v>
                </c:pt>
                <c:pt idx="19">
                  <c:v>1</c:v>
                </c:pt>
                <c:pt idx="20">
                  <c:v>3</c:v>
                </c:pt>
                <c:pt idx="21">
                  <c:v>0</c:v>
                </c:pt>
                <c:pt idx="22">
                  <c:v>0</c:v>
                </c:pt>
                <c:pt idx="23">
                  <c:v>0</c:v>
                </c:pt>
                <c:pt idx="24">
                  <c:v>0</c:v>
                </c:pt>
                <c:pt idx="25">
                  <c:v>1</c:v>
                </c:pt>
                <c:pt idx="26">
                  <c:v>0</c:v>
                </c:pt>
                <c:pt idx="27">
                  <c:v>0</c:v>
                </c:pt>
                <c:pt idx="28">
                  <c:v>1</c:v>
                </c:pt>
                <c:pt idx="29">
                  <c:v>0</c:v>
                </c:pt>
                <c:pt idx="30">
                  <c:v>2</c:v>
                </c:pt>
                <c:pt idx="31">
                  <c:v>0</c:v>
                </c:pt>
                <c:pt idx="32">
                  <c:v>0</c:v>
                </c:pt>
                <c:pt idx="33">
                  <c:v>0</c:v>
                </c:pt>
                <c:pt idx="34">
                  <c:v>0</c:v>
                </c:pt>
              </c:numCache>
            </c:numRef>
          </c:val>
          <c:extLst>
            <c:ext xmlns:c16="http://schemas.microsoft.com/office/drawing/2014/chart" uri="{C3380CC4-5D6E-409C-BE32-E72D297353CC}">
              <c16:uniqueId val="{00000002-8AAB-4737-AA66-5D2B98ED7D24}"/>
            </c:ext>
          </c:extLst>
        </c:ser>
        <c:dLbls>
          <c:showLegendKey val="0"/>
          <c:showVal val="0"/>
          <c:showCatName val="0"/>
          <c:showSerName val="0"/>
          <c:showPercent val="0"/>
          <c:showBubbleSize val="0"/>
        </c:dLbls>
        <c:gapWidth val="182"/>
        <c:axId val="11564432"/>
        <c:axId val="11556112"/>
      </c:barChart>
      <c:catAx>
        <c:axId val="11564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556112"/>
        <c:crosses val="autoZero"/>
        <c:auto val="1"/>
        <c:lblAlgn val="ctr"/>
        <c:lblOffset val="100"/>
        <c:noMultiLvlLbl val="0"/>
      </c:catAx>
      <c:valAx>
        <c:axId val="1155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564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oddFooter>&amp;C&amp;K034EA2Enquête information patient et audit traçabilité des Dispositifs Médicaux Implantables (DMI)&amp;R&amp;K034EA2&amp;P/&amp;N</c:oddFooter>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fr-FR" sz="1050" b="0" i="0" u="none" strike="noStrike" kern="1200" spc="0" baseline="0">
                <a:solidFill>
                  <a:sysClr val="windowText" lastClr="000000">
                    <a:lumMod val="65000"/>
                    <a:lumOff val="35000"/>
                  </a:sysClr>
                </a:solidFill>
                <a:latin typeface="+mn-lt"/>
                <a:ea typeface="+mn-ea"/>
                <a:cs typeface="+mn-cs"/>
              </a:defRPr>
            </a:pPr>
            <a:r>
              <a:rPr lang="fr-FR" sz="1050" b="0" i="0" baseline="0">
                <a:effectLst/>
              </a:rPr>
              <a:t>Réponses ‘Je ne sais pas/plus’ pour les patients concernés par une pose d'implant en urgence selon l'âge du patient et le temps écoulé depuis la pose d'implant</a:t>
            </a:r>
            <a:endParaRPr lang="fr-FR" sz="105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fr-FR" sz="1050" b="0" i="0" u="none" strike="noStrike" kern="1200" spc="0" baseline="0">
              <a:solidFill>
                <a:sysClr val="windowText" lastClr="000000">
                  <a:lumMod val="65000"/>
                  <a:lumOff val="35000"/>
                </a:sysClr>
              </a:solidFill>
              <a:latin typeface="+mn-lt"/>
              <a:ea typeface="+mn-ea"/>
              <a:cs typeface="+mn-cs"/>
            </a:defRPr>
          </a:pPr>
          <a:endParaRPr lang="fr-FR"/>
        </a:p>
      </c:txPr>
    </c:title>
    <c:autoTitleDeleted val="0"/>
    <c:plotArea>
      <c:layout/>
      <c:barChart>
        <c:barDir val="col"/>
        <c:grouping val="clustered"/>
        <c:varyColors val="0"/>
        <c:ser>
          <c:idx val="0"/>
          <c:order val="0"/>
          <c:tx>
            <c:strRef>
              <c:f>'Données patients'!$C$111</c:f>
              <c:strCache>
                <c:ptCount val="1"/>
                <c:pt idx="0">
                  <c:v>Accord de soins écrit et signé</c:v>
                </c:pt>
              </c:strCache>
            </c:strRef>
          </c:tx>
          <c:spPr>
            <a:solidFill>
              <a:srgbClr val="004AAD"/>
            </a:solidFill>
            <a:ln>
              <a:noFill/>
            </a:ln>
            <a:effectLst/>
          </c:spPr>
          <c:invertIfNegative val="0"/>
          <c:cat>
            <c:multiLvlStrRef>
              <c:f>'Données patients'!$A$112:$B$146</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patients'!$C$112:$C$146</c:f>
              <c:numCache>
                <c:formatCode>0</c:formatCode>
                <c:ptCount val="35"/>
                <c:pt idx="0">
                  <c:v>1</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0-CB3A-444C-A271-E1BBA449315C}"/>
            </c:ext>
          </c:extLst>
        </c:ser>
        <c:ser>
          <c:idx val="3"/>
          <c:order val="1"/>
          <c:tx>
            <c:strRef>
              <c:f>'Données patients'!$D$111</c:f>
              <c:strCache>
                <c:ptCount val="1"/>
                <c:pt idx="0">
                  <c:v>Contenu de la carte implant</c:v>
                </c:pt>
              </c:strCache>
            </c:strRef>
          </c:tx>
          <c:spPr>
            <a:solidFill>
              <a:srgbClr val="FFC000"/>
            </a:solidFill>
            <a:ln>
              <a:noFill/>
            </a:ln>
            <a:effectLst/>
          </c:spPr>
          <c:invertIfNegative val="0"/>
          <c:cat>
            <c:multiLvlStrRef>
              <c:f>'Données patients'!$A$112:$B$146</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patients'!$D$112:$D$146</c:f>
              <c:numCache>
                <c:formatCode>0</c:formatCode>
                <c:ptCount val="35"/>
                <c:pt idx="0">
                  <c:v>1</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0-7FE5-4147-B28C-049A8F4B04BB}"/>
            </c:ext>
          </c:extLst>
        </c:ser>
        <c:ser>
          <c:idx val="4"/>
          <c:order val="2"/>
          <c:tx>
            <c:strRef>
              <c:f>'Données patients'!$E$111</c:f>
              <c:strCache>
                <c:ptCount val="1"/>
                <c:pt idx="0">
                  <c:v>Rôle de la carte implant</c:v>
                </c:pt>
              </c:strCache>
            </c:strRef>
          </c:tx>
          <c:spPr>
            <a:solidFill>
              <a:srgbClr val="FFFF00"/>
            </a:solidFill>
            <a:ln>
              <a:noFill/>
            </a:ln>
            <a:effectLst/>
          </c:spPr>
          <c:invertIfNegative val="0"/>
          <c:cat>
            <c:multiLvlStrRef>
              <c:f>'Données patients'!$A$112:$B$146</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patients'!$E$112:$E$146</c:f>
              <c:numCache>
                <c:formatCode>0</c:formatCode>
                <c:ptCount val="35"/>
                <c:pt idx="0">
                  <c:v>1</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1-7FE5-4147-B28C-049A8F4B04BB}"/>
            </c:ext>
          </c:extLst>
        </c:ser>
        <c:ser>
          <c:idx val="2"/>
          <c:order val="3"/>
          <c:tx>
            <c:strRef>
              <c:f>'Données patients'!$F$111</c:f>
              <c:strCache>
                <c:ptCount val="1"/>
                <c:pt idx="0">
                  <c:v>Prévenir les soignants</c:v>
                </c:pt>
              </c:strCache>
            </c:strRef>
          </c:tx>
          <c:spPr>
            <a:solidFill>
              <a:srgbClr val="00B050"/>
            </a:solidFill>
            <a:ln>
              <a:noFill/>
            </a:ln>
            <a:effectLst/>
          </c:spPr>
          <c:invertIfNegative val="0"/>
          <c:cat>
            <c:multiLvlStrRef>
              <c:f>'Données patients'!$A$112:$B$146</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patients'!$F$112:$F$146</c:f>
              <c:numCache>
                <c:formatCode>0</c:formatCode>
                <c:ptCount val="35"/>
                <c:pt idx="0">
                  <c:v>1</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2-CB3A-444C-A271-E1BBA449315C}"/>
            </c:ext>
          </c:extLst>
        </c:ser>
        <c:ser>
          <c:idx val="1"/>
          <c:order val="4"/>
          <c:tx>
            <c:strRef>
              <c:f>'Données patients'!$G$111</c:f>
              <c:strCache>
                <c:ptCount val="1"/>
                <c:pt idx="0">
                  <c:v>Traçabilité &amp; DMP</c:v>
                </c:pt>
              </c:strCache>
            </c:strRef>
          </c:tx>
          <c:spPr>
            <a:solidFill>
              <a:srgbClr val="FF00FF"/>
            </a:solidFill>
            <a:ln>
              <a:noFill/>
            </a:ln>
            <a:effectLst/>
          </c:spPr>
          <c:invertIfNegative val="0"/>
          <c:cat>
            <c:multiLvlStrRef>
              <c:f>'Données patients'!$A$112:$B$146</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patients'!$G$112:$G$146</c:f>
              <c:numCache>
                <c:formatCode>0</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1-CB3A-444C-A271-E1BBA449315C}"/>
            </c:ext>
          </c:extLst>
        </c:ser>
        <c:ser>
          <c:idx val="5"/>
          <c:order val="5"/>
          <c:tx>
            <c:strRef>
              <c:f>'Données patients'!$H$111</c:f>
              <c:strCache>
                <c:ptCount val="1"/>
                <c:pt idx="0">
                  <c:v>Aucun document remis</c:v>
                </c:pt>
              </c:strCache>
            </c:strRef>
          </c:tx>
          <c:spPr>
            <a:solidFill>
              <a:schemeClr val="tx1"/>
            </a:solidFill>
            <a:ln>
              <a:noFill/>
            </a:ln>
            <a:effectLst/>
          </c:spPr>
          <c:invertIfNegative val="0"/>
          <c:cat>
            <c:multiLvlStrRef>
              <c:f>'Données patients'!$A$112:$B$146</c:f>
              <c:multiLvlStrCache>
                <c:ptCount val="35"/>
                <c:lvl>
                  <c:pt idx="0">
                    <c:v>[0 - 1 mois[</c:v>
                  </c:pt>
                  <c:pt idx="1">
                    <c:v>[1 - 3 mois[</c:v>
                  </c:pt>
                  <c:pt idx="2">
                    <c:v>[3 - 6 mois[</c:v>
                  </c:pt>
                  <c:pt idx="3">
                    <c:v>[6 mois - 1 an[</c:v>
                  </c:pt>
                  <c:pt idx="4">
                    <c:v>[1 an et plus[</c:v>
                  </c:pt>
                  <c:pt idx="5">
                    <c:v>[0 - 1 mois[</c:v>
                  </c:pt>
                  <c:pt idx="6">
                    <c:v>[1 - 3 mois[</c:v>
                  </c:pt>
                  <c:pt idx="7">
                    <c:v>[3 - 6 mois[</c:v>
                  </c:pt>
                  <c:pt idx="8">
                    <c:v>[6 mois - 1 an[</c:v>
                  </c:pt>
                  <c:pt idx="9">
                    <c:v>[1 an et plus[</c:v>
                  </c:pt>
                  <c:pt idx="10">
                    <c:v>[0 - 1 mois[</c:v>
                  </c:pt>
                  <c:pt idx="11">
                    <c:v>[1 - 3 mois[</c:v>
                  </c:pt>
                  <c:pt idx="12">
                    <c:v>[3 - 6 mois[</c:v>
                  </c:pt>
                  <c:pt idx="13">
                    <c:v>[6 mois - 1 an[</c:v>
                  </c:pt>
                  <c:pt idx="14">
                    <c:v>[1 an et plus[</c:v>
                  </c:pt>
                  <c:pt idx="15">
                    <c:v>[0 - 1 mois[</c:v>
                  </c:pt>
                  <c:pt idx="16">
                    <c:v>[1 - 3 mois[</c:v>
                  </c:pt>
                  <c:pt idx="17">
                    <c:v>[3 - 6 mois[</c:v>
                  </c:pt>
                  <c:pt idx="18">
                    <c:v>[6 mois - 1 an[</c:v>
                  </c:pt>
                  <c:pt idx="19">
                    <c:v>[1 an et plus[</c:v>
                  </c:pt>
                  <c:pt idx="20">
                    <c:v>[0 - 1 mois[</c:v>
                  </c:pt>
                  <c:pt idx="21">
                    <c:v>[1 - 3 mois[</c:v>
                  </c:pt>
                  <c:pt idx="22">
                    <c:v>[3 - 6 mois[</c:v>
                  </c:pt>
                  <c:pt idx="23">
                    <c:v>[6 mois - 1 an[</c:v>
                  </c:pt>
                  <c:pt idx="24">
                    <c:v>[1 an et plus[</c:v>
                  </c:pt>
                  <c:pt idx="25">
                    <c:v>[0 - 1 mois[</c:v>
                  </c:pt>
                  <c:pt idx="26">
                    <c:v>[1 - 3 mois[</c:v>
                  </c:pt>
                  <c:pt idx="27">
                    <c:v>[3 - 6 mois[</c:v>
                  </c:pt>
                  <c:pt idx="28">
                    <c:v>[6 mois - 1 an[</c:v>
                  </c:pt>
                  <c:pt idx="29">
                    <c:v>[1 an et plus[</c:v>
                  </c:pt>
                  <c:pt idx="30">
                    <c:v>[0 - 1 mois[</c:v>
                  </c:pt>
                  <c:pt idx="31">
                    <c:v>[1 - 3 mois[</c:v>
                  </c:pt>
                  <c:pt idx="32">
                    <c:v>[3 - 6 mois[</c:v>
                  </c:pt>
                  <c:pt idx="33">
                    <c:v>[6 mois - 1 an[</c:v>
                  </c:pt>
                  <c:pt idx="34">
                    <c:v>[1 an et plus[</c:v>
                  </c:pt>
                </c:lvl>
                <c:lvl>
                  <c:pt idx="0">
                    <c:v>[  0 - 14 ans]</c:v>
                  </c:pt>
                  <c:pt idx="5">
                    <c:v>[15 - 19 ans]</c:v>
                  </c:pt>
                  <c:pt idx="10">
                    <c:v>[20 - 29 ans]</c:v>
                  </c:pt>
                  <c:pt idx="15">
                    <c:v>[30 - 39 ans]</c:v>
                  </c:pt>
                  <c:pt idx="20">
                    <c:v>[50 - 59 ans]</c:v>
                  </c:pt>
                  <c:pt idx="25">
                    <c:v>[60 - 69 ans]</c:v>
                  </c:pt>
                  <c:pt idx="30">
                    <c:v>[70 ans et +[ </c:v>
                  </c:pt>
                </c:lvl>
              </c:multiLvlStrCache>
            </c:multiLvlStrRef>
          </c:cat>
          <c:val>
            <c:numRef>
              <c:f>'Données patients'!$H$112:$H$146</c:f>
              <c:numCache>
                <c:formatCode>0</c:formatCode>
                <c:ptCount val="35"/>
                <c:pt idx="0">
                  <c:v>1</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2-7FE5-4147-B28C-049A8F4B04BB}"/>
            </c:ext>
          </c:extLst>
        </c:ser>
        <c:dLbls>
          <c:showLegendKey val="0"/>
          <c:showVal val="0"/>
          <c:showCatName val="0"/>
          <c:showSerName val="0"/>
          <c:showPercent val="0"/>
          <c:showBubbleSize val="0"/>
        </c:dLbls>
        <c:gapWidth val="219"/>
        <c:overlap val="-27"/>
        <c:axId val="1592406239"/>
        <c:axId val="1592412895"/>
      </c:barChart>
      <c:catAx>
        <c:axId val="1592406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592412895"/>
        <c:crosses val="autoZero"/>
        <c:auto val="1"/>
        <c:lblAlgn val="ctr"/>
        <c:lblOffset val="100"/>
        <c:noMultiLvlLbl val="0"/>
      </c:catAx>
      <c:valAx>
        <c:axId val="1592412895"/>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5924062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6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6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26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chart" Target="../charts/chart25.xml"/><Relationship Id="rId4" Type="http://schemas.openxmlformats.org/officeDocument/2006/relationships/chart" Target="../charts/chart2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chart" Target="../charts/chart30.xml"/><Relationship Id="rId1" Type="http://schemas.openxmlformats.org/officeDocument/2006/relationships/chart" Target="../charts/chart29.xml"/></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0</xdr:rowOff>
    </xdr:from>
    <xdr:to>
      <xdr:col>0</xdr:col>
      <xdr:colOff>2143649</xdr:colOff>
      <xdr:row>2</xdr:row>
      <xdr:rowOff>200025</xdr:rowOff>
    </xdr:to>
    <xdr:pic>
      <xdr:nvPicPr>
        <xdr:cNvPr id="3" name="Image 2">
          <a:extLst>
            <a:ext uri="{FF2B5EF4-FFF2-40B4-BE49-F238E27FC236}">
              <a16:creationId xmlns:a16="http://schemas.microsoft.com/office/drawing/2014/main" id="{1A8065E6-BB6A-DB1D-0D3E-C0F81D6186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0"/>
          <a:ext cx="2010299" cy="685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1166446</xdr:colOff>
      <xdr:row>191</xdr:row>
      <xdr:rowOff>58614</xdr:rowOff>
    </xdr:from>
    <xdr:to>
      <xdr:col>12</xdr:col>
      <xdr:colOff>154416</xdr:colOff>
      <xdr:row>196</xdr:row>
      <xdr:rowOff>726830</xdr:rowOff>
    </xdr:to>
    <xdr:graphicFrame macro="">
      <xdr:nvGraphicFramePr>
        <xdr:cNvPr id="19" name="Graphique 18">
          <a:extLst>
            <a:ext uri="{FF2B5EF4-FFF2-40B4-BE49-F238E27FC236}">
              <a16:creationId xmlns:a16="http://schemas.microsoft.com/office/drawing/2014/main" id="{E8417B2B-5C3C-04B1-AA89-1485F594F09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790575</xdr:colOff>
      <xdr:row>3</xdr:row>
      <xdr:rowOff>130969</xdr:rowOff>
    </xdr:from>
    <xdr:to>
      <xdr:col>13</xdr:col>
      <xdr:colOff>838200</xdr:colOff>
      <xdr:row>15</xdr:row>
      <xdr:rowOff>152401</xdr:rowOff>
    </xdr:to>
    <xdr:graphicFrame macro="">
      <xdr:nvGraphicFramePr>
        <xdr:cNvPr id="6" name="Graphique 5">
          <a:extLst>
            <a:ext uri="{FF2B5EF4-FFF2-40B4-BE49-F238E27FC236}">
              <a16:creationId xmlns:a16="http://schemas.microsoft.com/office/drawing/2014/main" id="{B539FCA9-AE37-19FD-7379-65237C0E02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30498</xdr:colOff>
      <xdr:row>3</xdr:row>
      <xdr:rowOff>107157</xdr:rowOff>
    </xdr:from>
    <xdr:to>
      <xdr:col>10</xdr:col>
      <xdr:colOff>857249</xdr:colOff>
      <xdr:row>15</xdr:row>
      <xdr:rowOff>152403</xdr:rowOff>
    </xdr:to>
    <xdr:graphicFrame macro="">
      <xdr:nvGraphicFramePr>
        <xdr:cNvPr id="7" name="Graphique 6">
          <a:extLst>
            <a:ext uri="{FF2B5EF4-FFF2-40B4-BE49-F238E27FC236}">
              <a16:creationId xmlns:a16="http://schemas.microsoft.com/office/drawing/2014/main" id="{72150A3F-4B12-E20F-21B5-A73B004E70D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28915</xdr:colOff>
      <xdr:row>20</xdr:row>
      <xdr:rowOff>142874</xdr:rowOff>
    </xdr:from>
    <xdr:to>
      <xdr:col>13</xdr:col>
      <xdr:colOff>761999</xdr:colOff>
      <xdr:row>31</xdr:row>
      <xdr:rowOff>71436</xdr:rowOff>
    </xdr:to>
    <xdr:graphicFrame macro="">
      <xdr:nvGraphicFramePr>
        <xdr:cNvPr id="3" name="Graphique 2">
          <a:extLst>
            <a:ext uri="{FF2B5EF4-FFF2-40B4-BE49-F238E27FC236}">
              <a16:creationId xmlns:a16="http://schemas.microsoft.com/office/drawing/2014/main" id="{98DBCB58-7BD9-A22F-5D26-DB5E2AE732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0</xdr:colOff>
      <xdr:row>49</xdr:row>
      <xdr:rowOff>11906</xdr:rowOff>
    </xdr:from>
    <xdr:to>
      <xdr:col>13</xdr:col>
      <xdr:colOff>869156</xdr:colOff>
      <xdr:row>63</xdr:row>
      <xdr:rowOff>-1</xdr:rowOff>
    </xdr:to>
    <xdr:graphicFrame macro="">
      <xdr:nvGraphicFramePr>
        <xdr:cNvPr id="8" name="Graphique 7">
          <a:extLst>
            <a:ext uri="{FF2B5EF4-FFF2-40B4-BE49-F238E27FC236}">
              <a16:creationId xmlns:a16="http://schemas.microsoft.com/office/drawing/2014/main" id="{87708659-4E38-42BE-A93E-4778D204C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50006</xdr:colOff>
      <xdr:row>63</xdr:row>
      <xdr:rowOff>23814</xdr:rowOff>
    </xdr:from>
    <xdr:to>
      <xdr:col>13</xdr:col>
      <xdr:colOff>845344</xdr:colOff>
      <xdr:row>72</xdr:row>
      <xdr:rowOff>631031</xdr:rowOff>
    </xdr:to>
    <xdr:graphicFrame macro="">
      <xdr:nvGraphicFramePr>
        <xdr:cNvPr id="9" name="Graphique 8">
          <a:extLst>
            <a:ext uri="{FF2B5EF4-FFF2-40B4-BE49-F238E27FC236}">
              <a16:creationId xmlns:a16="http://schemas.microsoft.com/office/drawing/2014/main" id="{884BC2BE-D936-4103-BC85-542C74027B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178594</xdr:colOff>
      <xdr:row>31</xdr:row>
      <xdr:rowOff>35719</xdr:rowOff>
    </xdr:from>
    <xdr:to>
      <xdr:col>13</xdr:col>
      <xdr:colOff>690562</xdr:colOff>
      <xdr:row>44</xdr:row>
      <xdr:rowOff>100013</xdr:rowOff>
    </xdr:to>
    <xdr:graphicFrame macro="">
      <xdr:nvGraphicFramePr>
        <xdr:cNvPr id="10" name="Graphique 9">
          <a:extLst>
            <a:ext uri="{FF2B5EF4-FFF2-40B4-BE49-F238E27FC236}">
              <a16:creationId xmlns:a16="http://schemas.microsoft.com/office/drawing/2014/main" id="{04D93277-9681-450C-BDDE-38DF75E76F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13612</xdr:colOff>
      <xdr:row>89</xdr:row>
      <xdr:rowOff>35721</xdr:rowOff>
    </xdr:from>
    <xdr:to>
      <xdr:col>13</xdr:col>
      <xdr:colOff>845344</xdr:colOff>
      <xdr:row>107</xdr:row>
      <xdr:rowOff>178593</xdr:rowOff>
    </xdr:to>
    <xdr:graphicFrame macro="">
      <xdr:nvGraphicFramePr>
        <xdr:cNvPr id="11" name="Graphique 10">
          <a:extLst>
            <a:ext uri="{FF2B5EF4-FFF2-40B4-BE49-F238E27FC236}">
              <a16:creationId xmlns:a16="http://schemas.microsoft.com/office/drawing/2014/main" id="{7A730BB4-9708-781E-D499-6296E1A244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76539</xdr:colOff>
      <xdr:row>107</xdr:row>
      <xdr:rowOff>432028</xdr:rowOff>
    </xdr:from>
    <xdr:to>
      <xdr:col>13</xdr:col>
      <xdr:colOff>809625</xdr:colOff>
      <xdr:row>131</xdr:row>
      <xdr:rowOff>90148</xdr:rowOff>
    </xdr:to>
    <xdr:graphicFrame macro="">
      <xdr:nvGraphicFramePr>
        <xdr:cNvPr id="2" name="Graphique 1">
          <a:extLst>
            <a:ext uri="{FF2B5EF4-FFF2-40B4-BE49-F238E27FC236}">
              <a16:creationId xmlns:a16="http://schemas.microsoft.com/office/drawing/2014/main" id="{94B2230B-65E0-ADB4-D752-E99B11E90F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xdr:col>
      <xdr:colOff>2380</xdr:colOff>
      <xdr:row>74</xdr:row>
      <xdr:rowOff>119064</xdr:rowOff>
    </xdr:from>
    <xdr:to>
      <xdr:col>13</xdr:col>
      <xdr:colOff>881062</xdr:colOff>
      <xdr:row>87</xdr:row>
      <xdr:rowOff>0</xdr:rowOff>
    </xdr:to>
    <xdr:graphicFrame macro="">
      <xdr:nvGraphicFramePr>
        <xdr:cNvPr id="4" name="Graphique 3">
          <a:extLst>
            <a:ext uri="{FF2B5EF4-FFF2-40B4-BE49-F238E27FC236}">
              <a16:creationId xmlns:a16="http://schemas.microsoft.com/office/drawing/2014/main" id="{2D155105-CE42-4EA2-8C45-2368B72B12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37418</xdr:colOff>
      <xdr:row>136</xdr:row>
      <xdr:rowOff>27216</xdr:rowOff>
    </xdr:from>
    <xdr:to>
      <xdr:col>13</xdr:col>
      <xdr:colOff>881061</xdr:colOff>
      <xdr:row>148</xdr:row>
      <xdr:rowOff>102577</xdr:rowOff>
    </xdr:to>
    <xdr:graphicFrame macro="">
      <xdr:nvGraphicFramePr>
        <xdr:cNvPr id="12" name="Graphique 11">
          <a:extLst>
            <a:ext uri="{FF2B5EF4-FFF2-40B4-BE49-F238E27FC236}">
              <a16:creationId xmlns:a16="http://schemas.microsoft.com/office/drawing/2014/main" id="{C8DA8C48-AE51-948F-C144-E67DF853A2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96950</xdr:colOff>
      <xdr:row>163</xdr:row>
      <xdr:rowOff>4763</xdr:rowOff>
    </xdr:from>
    <xdr:to>
      <xdr:col>13</xdr:col>
      <xdr:colOff>835136</xdr:colOff>
      <xdr:row>171</xdr:row>
      <xdr:rowOff>340927</xdr:rowOff>
    </xdr:to>
    <xdr:graphicFrame macro="">
      <xdr:nvGraphicFramePr>
        <xdr:cNvPr id="15" name="Graphique 14">
          <a:extLst>
            <a:ext uri="{FF2B5EF4-FFF2-40B4-BE49-F238E27FC236}">
              <a16:creationId xmlns:a16="http://schemas.microsoft.com/office/drawing/2014/main" id="{433914D3-129A-F9DF-9519-2D65703415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xdr:col>
      <xdr:colOff>42524</xdr:colOff>
      <xdr:row>150</xdr:row>
      <xdr:rowOff>14654</xdr:rowOff>
    </xdr:from>
    <xdr:to>
      <xdr:col>13</xdr:col>
      <xdr:colOff>867456</xdr:colOff>
      <xdr:row>161</xdr:row>
      <xdr:rowOff>173355</xdr:rowOff>
    </xdr:to>
    <xdr:graphicFrame macro="">
      <xdr:nvGraphicFramePr>
        <xdr:cNvPr id="18" name="Graphique 17">
          <a:extLst>
            <a:ext uri="{FF2B5EF4-FFF2-40B4-BE49-F238E27FC236}">
              <a16:creationId xmlns:a16="http://schemas.microsoft.com/office/drawing/2014/main" id="{D471A669-F11E-6161-5310-CC2D680F1AA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759261</xdr:colOff>
      <xdr:row>171</xdr:row>
      <xdr:rowOff>217659</xdr:rowOff>
    </xdr:from>
    <xdr:to>
      <xdr:col>13</xdr:col>
      <xdr:colOff>837703</xdr:colOff>
      <xdr:row>174</xdr:row>
      <xdr:rowOff>316524</xdr:rowOff>
    </xdr:to>
    <xdr:graphicFrame macro="">
      <xdr:nvGraphicFramePr>
        <xdr:cNvPr id="16" name="Graphique 15">
          <a:extLst>
            <a:ext uri="{FF2B5EF4-FFF2-40B4-BE49-F238E27FC236}">
              <a16:creationId xmlns:a16="http://schemas.microsoft.com/office/drawing/2014/main" id="{3DC020CE-8546-3581-6D2F-28EEC6C59B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4762</xdr:colOff>
      <xdr:row>177</xdr:row>
      <xdr:rowOff>121681</xdr:rowOff>
    </xdr:from>
    <xdr:to>
      <xdr:col>9</xdr:col>
      <xdr:colOff>392636</xdr:colOff>
      <xdr:row>186</xdr:row>
      <xdr:rowOff>190500</xdr:rowOff>
    </xdr:to>
    <xdr:graphicFrame macro="">
      <xdr:nvGraphicFramePr>
        <xdr:cNvPr id="5" name="Graphique 4">
          <a:extLst>
            <a:ext uri="{FF2B5EF4-FFF2-40B4-BE49-F238E27FC236}">
              <a16:creationId xmlns:a16="http://schemas.microsoft.com/office/drawing/2014/main" id="{48D178F5-B2DF-1735-8606-0B3363DF85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9</xdr:col>
      <xdr:colOff>404812</xdr:colOff>
      <xdr:row>177</xdr:row>
      <xdr:rowOff>104775</xdr:rowOff>
    </xdr:from>
    <xdr:to>
      <xdr:col>11</xdr:col>
      <xdr:colOff>778874</xdr:colOff>
      <xdr:row>186</xdr:row>
      <xdr:rowOff>180975</xdr:rowOff>
    </xdr:to>
    <xdr:graphicFrame macro="">
      <xdr:nvGraphicFramePr>
        <xdr:cNvPr id="13" name="Graphique 12">
          <a:extLst>
            <a:ext uri="{FF2B5EF4-FFF2-40B4-BE49-F238E27FC236}">
              <a16:creationId xmlns:a16="http://schemas.microsoft.com/office/drawing/2014/main" id="{CA91394C-3A82-070C-988D-7055D590B4E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11</xdr:col>
      <xdr:colOff>821530</xdr:colOff>
      <xdr:row>177</xdr:row>
      <xdr:rowOff>104775</xdr:rowOff>
    </xdr:from>
    <xdr:to>
      <xdr:col>13</xdr:col>
      <xdr:colOff>743155</xdr:colOff>
      <xdr:row>186</xdr:row>
      <xdr:rowOff>180975</xdr:rowOff>
    </xdr:to>
    <xdr:graphicFrame macro="">
      <xdr:nvGraphicFramePr>
        <xdr:cNvPr id="14" name="Graphique 13">
          <a:extLst>
            <a:ext uri="{FF2B5EF4-FFF2-40B4-BE49-F238E27FC236}">
              <a16:creationId xmlns:a16="http://schemas.microsoft.com/office/drawing/2014/main" id="{78590DFC-F720-C544-2B6F-4405B4C005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8</xdr:col>
      <xdr:colOff>47626</xdr:colOff>
      <xdr:row>198</xdr:row>
      <xdr:rowOff>83343</xdr:rowOff>
    </xdr:from>
    <xdr:to>
      <xdr:col>13</xdr:col>
      <xdr:colOff>833438</xdr:colOff>
      <xdr:row>209</xdr:row>
      <xdr:rowOff>23812</xdr:rowOff>
    </xdr:to>
    <xdr:graphicFrame macro="">
      <xdr:nvGraphicFramePr>
        <xdr:cNvPr id="21" name="Graphique 20">
          <a:extLst>
            <a:ext uri="{FF2B5EF4-FFF2-40B4-BE49-F238E27FC236}">
              <a16:creationId xmlns:a16="http://schemas.microsoft.com/office/drawing/2014/main" id="{0CA65F73-3818-4018-A07A-1E9C1310B1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xdr:col>
      <xdr:colOff>1512092</xdr:colOff>
      <xdr:row>209</xdr:row>
      <xdr:rowOff>140492</xdr:rowOff>
    </xdr:from>
    <xdr:to>
      <xdr:col>13</xdr:col>
      <xdr:colOff>845341</xdr:colOff>
      <xdr:row>212</xdr:row>
      <xdr:rowOff>0</xdr:rowOff>
    </xdr:to>
    <xdr:graphicFrame macro="">
      <xdr:nvGraphicFramePr>
        <xdr:cNvPr id="22" name="Graphique 21">
          <a:extLst>
            <a:ext uri="{FF2B5EF4-FFF2-40B4-BE49-F238E27FC236}">
              <a16:creationId xmlns:a16="http://schemas.microsoft.com/office/drawing/2014/main" id="{7FA797EB-F95D-20DC-011E-1F031CD6D6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8</xdr:col>
      <xdr:colOff>47624</xdr:colOff>
      <xdr:row>215</xdr:row>
      <xdr:rowOff>152401</xdr:rowOff>
    </xdr:from>
    <xdr:to>
      <xdr:col>13</xdr:col>
      <xdr:colOff>717374</xdr:colOff>
      <xdr:row>223</xdr:row>
      <xdr:rowOff>106680</xdr:rowOff>
    </xdr:to>
    <xdr:graphicFrame macro="">
      <xdr:nvGraphicFramePr>
        <xdr:cNvPr id="24" name="Graphique 23">
          <a:extLst>
            <a:ext uri="{FF2B5EF4-FFF2-40B4-BE49-F238E27FC236}">
              <a16:creationId xmlns:a16="http://schemas.microsoft.com/office/drawing/2014/main" id="{7F0B774E-C8D9-7555-9767-5F963B1145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9</xdr:col>
      <xdr:colOff>421005</xdr:colOff>
      <xdr:row>223</xdr:row>
      <xdr:rowOff>126444</xdr:rowOff>
    </xdr:from>
    <xdr:to>
      <xdr:col>13</xdr:col>
      <xdr:colOff>718659</xdr:colOff>
      <xdr:row>226</xdr:row>
      <xdr:rowOff>23446</xdr:rowOff>
    </xdr:to>
    <xdr:graphicFrame macro="">
      <xdr:nvGraphicFramePr>
        <xdr:cNvPr id="25" name="Graphique 24">
          <a:extLst>
            <a:ext uri="{FF2B5EF4-FFF2-40B4-BE49-F238E27FC236}">
              <a16:creationId xmlns:a16="http://schemas.microsoft.com/office/drawing/2014/main" id="{576CD828-F983-7096-617A-E8EEB40EB4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8</xdr:col>
      <xdr:colOff>269631</xdr:colOff>
      <xdr:row>230</xdr:row>
      <xdr:rowOff>62425</xdr:rowOff>
    </xdr:from>
    <xdr:to>
      <xdr:col>13</xdr:col>
      <xdr:colOff>738554</xdr:colOff>
      <xdr:row>234</xdr:row>
      <xdr:rowOff>152399</xdr:rowOff>
    </xdr:to>
    <xdr:graphicFrame macro="">
      <xdr:nvGraphicFramePr>
        <xdr:cNvPr id="17" name="Graphique 16">
          <a:extLst>
            <a:ext uri="{FF2B5EF4-FFF2-40B4-BE49-F238E27FC236}">
              <a16:creationId xmlns:a16="http://schemas.microsoft.com/office/drawing/2014/main" id="{2F4E7233-4BE7-CA29-5C20-2115BE8886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8</xdr:col>
      <xdr:colOff>257908</xdr:colOff>
      <xdr:row>236</xdr:row>
      <xdr:rowOff>119584</xdr:rowOff>
    </xdr:from>
    <xdr:to>
      <xdr:col>10</xdr:col>
      <xdr:colOff>679939</xdr:colOff>
      <xdr:row>248</xdr:row>
      <xdr:rowOff>152400</xdr:rowOff>
    </xdr:to>
    <xdr:graphicFrame macro="">
      <xdr:nvGraphicFramePr>
        <xdr:cNvPr id="27" name="Graphique 26">
          <a:extLst>
            <a:ext uri="{FF2B5EF4-FFF2-40B4-BE49-F238E27FC236}">
              <a16:creationId xmlns:a16="http://schemas.microsoft.com/office/drawing/2014/main" id="{61142823-8BAD-C3B8-1B64-9EBDDD93583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849922</xdr:colOff>
      <xdr:row>236</xdr:row>
      <xdr:rowOff>147125</xdr:rowOff>
    </xdr:from>
    <xdr:to>
      <xdr:col>13</xdr:col>
      <xdr:colOff>808892</xdr:colOff>
      <xdr:row>248</xdr:row>
      <xdr:rowOff>164121</xdr:rowOff>
    </xdr:to>
    <xdr:graphicFrame macro="">
      <xdr:nvGraphicFramePr>
        <xdr:cNvPr id="28" name="Graphique 27">
          <a:extLst>
            <a:ext uri="{FF2B5EF4-FFF2-40B4-BE49-F238E27FC236}">
              <a16:creationId xmlns:a16="http://schemas.microsoft.com/office/drawing/2014/main" id="{A6A3A9D8-DF7A-F4FB-0589-B036E16037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84664</xdr:colOff>
      <xdr:row>1</xdr:row>
      <xdr:rowOff>84666</xdr:rowOff>
    </xdr:from>
    <xdr:to>
      <xdr:col>17</xdr:col>
      <xdr:colOff>620680</xdr:colOff>
      <xdr:row>11</xdr:row>
      <xdr:rowOff>318500</xdr:rowOff>
    </xdr:to>
    <xdr:graphicFrame macro="">
      <xdr:nvGraphicFramePr>
        <xdr:cNvPr id="6" name="Graphique 5">
          <a:extLst>
            <a:ext uri="{FF2B5EF4-FFF2-40B4-BE49-F238E27FC236}">
              <a16:creationId xmlns:a16="http://schemas.microsoft.com/office/drawing/2014/main" id="{963FF934-EE11-4F81-B7AF-725600BC19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105833</xdr:colOff>
      <xdr:row>13</xdr:row>
      <xdr:rowOff>60402</xdr:rowOff>
    </xdr:from>
    <xdr:to>
      <xdr:col>17</xdr:col>
      <xdr:colOff>645584</xdr:colOff>
      <xdr:row>22</xdr:row>
      <xdr:rowOff>290397</xdr:rowOff>
    </xdr:to>
    <xdr:graphicFrame macro="">
      <xdr:nvGraphicFramePr>
        <xdr:cNvPr id="7" name="Graphique 6">
          <a:extLst>
            <a:ext uri="{FF2B5EF4-FFF2-40B4-BE49-F238E27FC236}">
              <a16:creationId xmlns:a16="http://schemas.microsoft.com/office/drawing/2014/main" id="{79009EF2-6EEF-4C1D-8A06-F04E9474D6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126997</xdr:colOff>
      <xdr:row>24</xdr:row>
      <xdr:rowOff>23231</xdr:rowOff>
    </xdr:from>
    <xdr:to>
      <xdr:col>17</xdr:col>
      <xdr:colOff>801494</xdr:colOff>
      <xdr:row>33</xdr:row>
      <xdr:rowOff>0</xdr:rowOff>
    </xdr:to>
    <xdr:graphicFrame macro="">
      <xdr:nvGraphicFramePr>
        <xdr:cNvPr id="9" name="Graphique 8">
          <a:extLst>
            <a:ext uri="{FF2B5EF4-FFF2-40B4-BE49-F238E27FC236}">
              <a16:creationId xmlns:a16="http://schemas.microsoft.com/office/drawing/2014/main" id="{52257153-F2FD-4AAA-9941-2D6F3EE043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127776</xdr:colOff>
      <xdr:row>35</xdr:row>
      <xdr:rowOff>0</xdr:rowOff>
    </xdr:from>
    <xdr:to>
      <xdr:col>17</xdr:col>
      <xdr:colOff>663792</xdr:colOff>
      <xdr:row>45</xdr:row>
      <xdr:rowOff>90269</xdr:rowOff>
    </xdr:to>
    <xdr:graphicFrame macro="">
      <xdr:nvGraphicFramePr>
        <xdr:cNvPr id="13" name="Graphique 12">
          <a:extLst>
            <a:ext uri="{FF2B5EF4-FFF2-40B4-BE49-F238E27FC236}">
              <a16:creationId xmlns:a16="http://schemas.microsoft.com/office/drawing/2014/main" id="{6E2CA780-C9A9-4121-AD16-A5F7774C58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38894</xdr:colOff>
      <xdr:row>3</xdr:row>
      <xdr:rowOff>47624</xdr:rowOff>
    </xdr:from>
    <xdr:to>
      <xdr:col>16</xdr:col>
      <xdr:colOff>785812</xdr:colOff>
      <xdr:row>47</xdr:row>
      <xdr:rowOff>142873</xdr:rowOff>
    </xdr:to>
    <xdr:graphicFrame macro="">
      <xdr:nvGraphicFramePr>
        <xdr:cNvPr id="4" name="Graphique 3">
          <a:extLst>
            <a:ext uri="{FF2B5EF4-FFF2-40B4-BE49-F238E27FC236}">
              <a16:creationId xmlns:a16="http://schemas.microsoft.com/office/drawing/2014/main" id="{B8E2E9CE-CA33-D0DE-2159-A0DF32773B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38100</xdr:colOff>
      <xdr:row>50</xdr:row>
      <xdr:rowOff>12700</xdr:rowOff>
    </xdr:from>
    <xdr:to>
      <xdr:col>16</xdr:col>
      <xdr:colOff>666750</xdr:colOff>
      <xdr:row>98</xdr:row>
      <xdr:rowOff>190500</xdr:rowOff>
    </xdr:to>
    <xdr:graphicFrame macro="">
      <xdr:nvGraphicFramePr>
        <xdr:cNvPr id="5" name="Graphique 4">
          <a:extLst>
            <a:ext uri="{FF2B5EF4-FFF2-40B4-BE49-F238E27FC236}">
              <a16:creationId xmlns:a16="http://schemas.microsoft.com/office/drawing/2014/main" id="{433998B0-25D2-2683-E812-D14BD39567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349250</xdr:colOff>
      <xdr:row>101</xdr:row>
      <xdr:rowOff>311149</xdr:rowOff>
    </xdr:from>
    <xdr:to>
      <xdr:col>16</xdr:col>
      <xdr:colOff>619125</xdr:colOff>
      <xdr:row>145</xdr:row>
      <xdr:rowOff>63499</xdr:rowOff>
    </xdr:to>
    <xdr:graphicFrame macro="">
      <xdr:nvGraphicFramePr>
        <xdr:cNvPr id="2" name="Graphique 1">
          <a:extLst>
            <a:ext uri="{FF2B5EF4-FFF2-40B4-BE49-F238E27FC236}">
              <a16:creationId xmlns:a16="http://schemas.microsoft.com/office/drawing/2014/main" id="{ECAD76BF-1C3E-7850-A88F-0486CED6F5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CC24A5B-F52D-45D0-BE05-C574BC2A6152}" name="Tableau1" displayName="Tableau1" ref="A1:B40" totalsRowShown="0">
  <autoFilter ref="A1:B40" xr:uid="{5CC24A5B-F52D-45D0-BE05-C574BC2A6152}"/>
  <tableColumns count="2">
    <tableColumn id="1" xr3:uid="{FDC2C656-BABC-4DB4-8E14-24F3219C4271}" name="Numéro Finess" dataDxfId="17"/>
    <tableColumn id="2" xr3:uid="{FF10D18A-B5AE-4D39-A7D0-05A1711FB93E}" name="Raison Sociale"/>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499984740745262"/>
  </sheetPr>
  <dimension ref="A1:Q40"/>
  <sheetViews>
    <sheetView workbookViewId="0">
      <selection activeCell="M4" sqref="M4"/>
    </sheetView>
  </sheetViews>
  <sheetFormatPr baseColWidth="10" defaultColWidth="11.42578125" defaultRowHeight="15" x14ac:dyDescent="0.25"/>
  <cols>
    <col min="1" max="1" width="14.28515625" style="75" bestFit="1" customWidth="1"/>
    <col min="2" max="2" width="43" bestFit="1" customWidth="1"/>
    <col min="3" max="3" width="54.28515625" bestFit="1" customWidth="1"/>
    <col min="4" max="4" width="45.85546875" customWidth="1"/>
    <col min="5" max="5" width="8" bestFit="1" customWidth="1"/>
    <col min="6" max="6" width="13.140625" bestFit="1" customWidth="1"/>
    <col min="7" max="7" width="18.42578125" bestFit="1" customWidth="1"/>
    <col min="8" max="10" width="18.42578125" customWidth="1"/>
    <col min="11" max="11" width="13.42578125" bestFit="1" customWidth="1"/>
    <col min="12" max="12" width="36.42578125" bestFit="1" customWidth="1"/>
    <col min="13" max="13" width="25" customWidth="1"/>
  </cols>
  <sheetData>
    <row r="1" spans="1:17" x14ac:dyDescent="0.25">
      <c r="A1" s="75" t="s">
        <v>185</v>
      </c>
      <c r="B1" t="s">
        <v>186</v>
      </c>
      <c r="C1" t="s">
        <v>156</v>
      </c>
      <c r="D1" t="s">
        <v>166</v>
      </c>
      <c r="E1" t="s">
        <v>151</v>
      </c>
      <c r="F1" t="s">
        <v>154</v>
      </c>
      <c r="G1" t="s">
        <v>148</v>
      </c>
      <c r="H1" t="s">
        <v>149</v>
      </c>
      <c r="I1" t="s">
        <v>155</v>
      </c>
      <c r="J1" t="s">
        <v>162</v>
      </c>
      <c r="K1" t="s">
        <v>163</v>
      </c>
      <c r="L1" t="s">
        <v>329</v>
      </c>
      <c r="M1" t="s">
        <v>330</v>
      </c>
    </row>
    <row r="2" spans="1:17" x14ac:dyDescent="0.25">
      <c r="A2" s="75" t="str">
        <f>"350000154"</f>
        <v>350000154</v>
      </c>
      <c r="B2" t="str">
        <f>"C.H FOUGERES"</f>
        <v>C.H FOUGERES</v>
      </c>
      <c r="C2" t="s">
        <v>292</v>
      </c>
      <c r="D2" t="s">
        <v>229</v>
      </c>
      <c r="E2" t="s">
        <v>152</v>
      </c>
      <c r="F2" t="s">
        <v>191</v>
      </c>
      <c r="G2" t="s">
        <v>101</v>
      </c>
      <c r="H2" t="s">
        <v>101</v>
      </c>
      <c r="I2" t="s">
        <v>157</v>
      </c>
      <c r="J2" t="s">
        <v>164</v>
      </c>
      <c r="K2" t="s">
        <v>101</v>
      </c>
      <c r="L2" t="s">
        <v>101</v>
      </c>
      <c r="M2" t="s">
        <v>101</v>
      </c>
      <c r="O2" t="s">
        <v>141</v>
      </c>
      <c r="P2" t="s">
        <v>102</v>
      </c>
      <c r="Q2" t="s">
        <v>103</v>
      </c>
    </row>
    <row r="3" spans="1:17" x14ac:dyDescent="0.25">
      <c r="A3" s="75" t="str">
        <f>"290000033"</f>
        <v>290000033</v>
      </c>
      <c r="B3" t="str">
        <f>"C.H. DES PAYS DE MORLAIX"</f>
        <v>C.H. DES PAYS DE MORLAIX</v>
      </c>
      <c r="C3" s="190" t="s">
        <v>107</v>
      </c>
      <c r="D3" t="s">
        <v>230</v>
      </c>
      <c r="E3" t="s">
        <v>153</v>
      </c>
      <c r="F3" t="s">
        <v>192</v>
      </c>
      <c r="G3" t="s">
        <v>104</v>
      </c>
      <c r="H3" t="s">
        <v>104</v>
      </c>
      <c r="I3" t="s">
        <v>158</v>
      </c>
      <c r="J3" t="s">
        <v>165</v>
      </c>
      <c r="K3" t="s">
        <v>104</v>
      </c>
      <c r="L3" t="s">
        <v>167</v>
      </c>
      <c r="M3" t="s">
        <v>104</v>
      </c>
      <c r="P3" t="s">
        <v>105</v>
      </c>
      <c r="Q3" t="s">
        <v>106</v>
      </c>
    </row>
    <row r="4" spans="1:17" x14ac:dyDescent="0.25">
      <c r="A4" s="75" t="str">
        <f>"350002812"</f>
        <v>350002812</v>
      </c>
      <c r="B4" t="str">
        <f>"C.R.L.C.C. EUGENE MARQUIS"</f>
        <v>C.R.L.C.C. EUGENE MARQUIS</v>
      </c>
      <c r="C4" t="s">
        <v>15</v>
      </c>
      <c r="D4" t="s">
        <v>245</v>
      </c>
      <c r="F4" t="s">
        <v>193</v>
      </c>
      <c r="G4" t="s">
        <v>150</v>
      </c>
      <c r="I4" t="s">
        <v>159</v>
      </c>
      <c r="K4" t="s">
        <v>147</v>
      </c>
      <c r="L4" t="s">
        <v>228</v>
      </c>
      <c r="M4" t="s">
        <v>331</v>
      </c>
    </row>
    <row r="5" spans="1:17" x14ac:dyDescent="0.25">
      <c r="A5" s="75" t="str">
        <f>"350000188"</f>
        <v>350000188</v>
      </c>
      <c r="B5" t="str">
        <f>"CENTRE HOSPITALIER   VITRE"</f>
        <v>CENTRE HOSPITALIER   VITRE</v>
      </c>
      <c r="C5" t="s">
        <v>12</v>
      </c>
      <c r="D5" t="s">
        <v>143</v>
      </c>
      <c r="F5" t="s">
        <v>194</v>
      </c>
      <c r="I5" t="s">
        <v>160</v>
      </c>
      <c r="L5" t="s">
        <v>104</v>
      </c>
    </row>
    <row r="6" spans="1:17" x14ac:dyDescent="0.25">
      <c r="A6" s="75" t="str">
        <f>"560000192"</f>
        <v>560000192</v>
      </c>
      <c r="B6" t="str">
        <f>"CENTRE HOSPITALIER DE PLOERMEL"</f>
        <v>CENTRE HOSPITALIER DE PLOERMEL</v>
      </c>
      <c r="C6" t="s">
        <v>108</v>
      </c>
      <c r="D6" t="s">
        <v>146</v>
      </c>
      <c r="F6" t="s">
        <v>195</v>
      </c>
      <c r="I6" t="s">
        <v>161</v>
      </c>
      <c r="L6" t="s">
        <v>142</v>
      </c>
    </row>
    <row r="7" spans="1:17" x14ac:dyDescent="0.25">
      <c r="A7" s="75" t="str">
        <f>"220000343"</f>
        <v>220000343</v>
      </c>
      <c r="B7" t="str">
        <f>"CENTRE HOSPITALIER GUINGAMP"</f>
        <v>CENTRE HOSPITALIER GUINGAMP</v>
      </c>
      <c r="C7" s="190" t="s">
        <v>109</v>
      </c>
      <c r="D7" t="s">
        <v>231</v>
      </c>
      <c r="F7" t="s">
        <v>196</v>
      </c>
    </row>
    <row r="8" spans="1:17" x14ac:dyDescent="0.25">
      <c r="A8" s="75" t="str">
        <f>"220000368"</f>
        <v>220000368</v>
      </c>
      <c r="B8" t="str">
        <f>"CENTRE HOSPITALIER LANNION"</f>
        <v>CENTRE HOSPITALIER LANNION</v>
      </c>
      <c r="C8" t="s">
        <v>110</v>
      </c>
      <c r="D8" t="s">
        <v>145</v>
      </c>
      <c r="F8" t="s">
        <v>190</v>
      </c>
    </row>
    <row r="9" spans="1:17" x14ac:dyDescent="0.25">
      <c r="A9" s="75" t="str">
        <f>"220000012"</f>
        <v>220000012</v>
      </c>
      <c r="B9" t="str">
        <f>"CENTRE HOSPITALIER YVES LE FOLL"</f>
        <v>CENTRE HOSPITALIER YVES LE FOLL</v>
      </c>
      <c r="C9" s="190" t="s">
        <v>111</v>
      </c>
    </row>
    <row r="10" spans="1:17" x14ac:dyDescent="0.25">
      <c r="A10" s="75" t="str">
        <f>"290000173"</f>
        <v>290000173</v>
      </c>
      <c r="B10" t="str">
        <f>"CH FERDINAND GRALL LANDERNEAU"</f>
        <v>CH FERDINAND GRALL LANDERNEAU</v>
      </c>
      <c r="C10" s="190" t="s">
        <v>112</v>
      </c>
    </row>
    <row r="11" spans="1:17" x14ac:dyDescent="0.25">
      <c r="A11" s="75" t="str">
        <f>"560000127"</f>
        <v>560000127</v>
      </c>
      <c r="B11" t="str">
        <f>"CHBA SITE DE VANNES"</f>
        <v>CHBA SITE DE VANNES</v>
      </c>
      <c r="C11" t="s">
        <v>113</v>
      </c>
    </row>
    <row r="12" spans="1:17" x14ac:dyDescent="0.25">
      <c r="A12" s="75" t="str">
        <f>"560000143"</f>
        <v>560000143</v>
      </c>
      <c r="B12" t="str">
        <f>"CHCB SITE KERIO"</f>
        <v>CHCB SITE KERIO</v>
      </c>
      <c r="C12" s="190" t="s">
        <v>144</v>
      </c>
    </row>
    <row r="13" spans="1:17" x14ac:dyDescent="0.25">
      <c r="A13" s="75" t="str">
        <f>"290000025"</f>
        <v>290000025</v>
      </c>
      <c r="B13" t="str">
        <f>"CHIC QUIMPER"</f>
        <v>CHIC QUIMPER</v>
      </c>
    </row>
    <row r="14" spans="1:17" x14ac:dyDescent="0.25">
      <c r="A14" s="75" t="str">
        <f>"350000162"</f>
        <v>350000162</v>
      </c>
      <c r="B14" t="str">
        <f>"CHIRC SITE REDON"</f>
        <v>CHIRC SITE REDON</v>
      </c>
    </row>
    <row r="15" spans="1:17" x14ac:dyDescent="0.25">
      <c r="A15" s="75" t="str">
        <f>"350000121"</f>
        <v>350000121</v>
      </c>
      <c r="B15" t="str">
        <f>"CHP SAINT GREGOIRE"</f>
        <v>CHP SAINT GREGOIRE</v>
      </c>
    </row>
    <row r="16" spans="1:17" x14ac:dyDescent="0.25">
      <c r="A16" s="75" t="str">
        <f>"290004324"</f>
        <v>290004324</v>
      </c>
      <c r="B16" t="str">
        <f>"CHRU BREST SITE HOPITAL CAVALE BLANCHE"</f>
        <v>CHRU BREST SITE HOPITAL CAVALE BLANCHE</v>
      </c>
    </row>
    <row r="17" spans="1:2" x14ac:dyDescent="0.25">
      <c r="A17" s="75" t="str">
        <f>"290000256"</f>
        <v>290000256</v>
      </c>
      <c r="B17" t="str">
        <f>"CHRU BREST SITE HOPITAL DE CARHAIX"</f>
        <v>CHRU BREST SITE HOPITAL DE CARHAIX</v>
      </c>
    </row>
    <row r="18" spans="1:2" x14ac:dyDescent="0.25">
      <c r="A18" s="75" t="str">
        <f>"290000058"</f>
        <v>290000058</v>
      </c>
      <c r="B18" t="str">
        <f>"CHRU BREST SITE HOPITAL MORVAN"</f>
        <v>CHRU BREST SITE HOPITAL MORVAN</v>
      </c>
    </row>
    <row r="19" spans="1:2" x14ac:dyDescent="0.25">
      <c r="A19" s="75" t="str">
        <f>"350007084"</f>
        <v>350007084</v>
      </c>
      <c r="B19" t="str">
        <f>"CHRU RENNES SITE HOPITAL SUD"</f>
        <v>CHRU RENNES SITE HOPITAL SUD</v>
      </c>
    </row>
    <row r="20" spans="1:2" x14ac:dyDescent="0.25">
      <c r="A20" s="75" t="str">
        <f>"350000741"</f>
        <v>350000741</v>
      </c>
      <c r="B20" t="str">
        <f>"CHRU RENNES SITE PONTCHAILLOU"</f>
        <v>CHRU RENNES SITE PONTCHAILLOU</v>
      </c>
    </row>
    <row r="21" spans="1:2" x14ac:dyDescent="0.25">
      <c r="A21" s="75" t="str">
        <f>"290036540"</f>
        <v>290036540</v>
      </c>
      <c r="B21" t="str">
        <f>"CLIN MUTUALISTE BRETAGNE OCCIDENTALE"</f>
        <v>CLIN MUTUALISTE BRETAGNE OCCIDENTALE</v>
      </c>
    </row>
    <row r="22" spans="1:2" x14ac:dyDescent="0.25">
      <c r="A22" s="75" t="str">
        <f>"350000196"</f>
        <v>350000196</v>
      </c>
      <c r="B22" t="str">
        <f>"CLINIQUE DE LA COTE D'EMERAUDE"</f>
        <v>CLINIQUE DE LA COTE D'EMERAUDE</v>
      </c>
    </row>
    <row r="23" spans="1:2" x14ac:dyDescent="0.25">
      <c r="A23" s="75" t="str">
        <f>"290004142"</f>
        <v>290004142</v>
      </c>
      <c r="B23" t="str">
        <f>"CLINIQUE DU GRAND LARGE"</f>
        <v>CLINIQUE DU GRAND LARGE</v>
      </c>
    </row>
    <row r="24" spans="1:2" x14ac:dyDescent="0.25">
      <c r="A24" s="75" t="str">
        <f>"350000139"</f>
        <v>350000139</v>
      </c>
      <c r="B24" t="str">
        <f>"CLINIQUE MUTUALISTE DE LA SAGESSE"</f>
        <v>CLINIQUE MUTUALISTE DE LA SAGESSE</v>
      </c>
    </row>
    <row r="25" spans="1:2" x14ac:dyDescent="0.25">
      <c r="A25" s="75" t="str">
        <f>"560002933"</f>
        <v>560002933</v>
      </c>
      <c r="B25" t="str">
        <f>"CLINIQUE MUTUALISTE PORTE DE L'ORIENT"</f>
        <v>CLINIQUE MUTUALISTE PORTE DE L'ORIENT</v>
      </c>
    </row>
    <row r="26" spans="1:2" x14ac:dyDescent="0.25">
      <c r="A26" s="75" t="str">
        <f>"290000140"</f>
        <v>290000140</v>
      </c>
      <c r="B26" t="str">
        <f>"CLINIQUE PASTEUR LANROZE"</f>
        <v>CLINIQUE PASTEUR LANROZE</v>
      </c>
    </row>
    <row r="27" spans="1:2" x14ac:dyDescent="0.25">
      <c r="A27" s="75" t="str">
        <f>"560029068"</f>
        <v>560029068</v>
      </c>
      <c r="B27" t="str">
        <f>"GCS CLINIQUE DU TER"</f>
        <v>GCS CLINIQUE DU TER</v>
      </c>
    </row>
    <row r="28" spans="1:2" x14ac:dyDescent="0.25">
      <c r="A28" s="75" t="str">
        <f>"560000135"</f>
        <v>560000135</v>
      </c>
      <c r="B28" t="str">
        <f>"GHBS- HÔPITAL DU SCORFF"</f>
        <v>GHBS- HÔPITAL DU SCORFF</v>
      </c>
    </row>
    <row r="29" spans="1:2" x14ac:dyDescent="0.25">
      <c r="A29" s="75" t="str">
        <f>"350000147"</f>
        <v>350000147</v>
      </c>
      <c r="B29" t="str">
        <f>"GHRE - SITE SAINT MALO BROUSSAIS"</f>
        <v>GHRE - SITE SAINT MALO BROUSSAIS</v>
      </c>
    </row>
    <row r="30" spans="1:2" x14ac:dyDescent="0.25">
      <c r="A30" s="75" t="str">
        <f>"220000095"</f>
        <v>220000095</v>
      </c>
      <c r="B30" t="str">
        <f>"GHRE- SITE DINAN RENE PLEVEN"</f>
        <v>GHRE- SITE DINAN RENE PLEVEN</v>
      </c>
    </row>
    <row r="31" spans="1:2" x14ac:dyDescent="0.25">
      <c r="A31" s="75" t="str">
        <f>"290000728"</f>
        <v>290000728</v>
      </c>
      <c r="B31" t="str">
        <f>"HOPITAL INSTR ARMEES CLERMONT-TONNERRE"</f>
        <v>HOPITAL INSTR ARMEES CLERMONT-TONNERRE</v>
      </c>
    </row>
    <row r="32" spans="1:2" x14ac:dyDescent="0.25">
      <c r="A32" s="75" t="str">
        <f>"220022800"</f>
        <v>220022800</v>
      </c>
      <c r="B32" t="str">
        <f>"HOPITAL PRIVÉ DES COTES D'ARMOR"</f>
        <v>HOPITAL PRIVÉ DES COTES D'ARMOR</v>
      </c>
    </row>
    <row r="33" spans="1:2" x14ac:dyDescent="0.25">
      <c r="A33" s="75" t="str">
        <f>"560008799"</f>
        <v>560008799</v>
      </c>
      <c r="B33" t="str">
        <f>"HÔPITAL PRIVÉ OCÉANE"</f>
        <v>HÔPITAL PRIVÉ OCÉANE</v>
      </c>
    </row>
    <row r="34" spans="1:2" x14ac:dyDescent="0.25">
      <c r="A34" s="75" t="str">
        <f>"350005146"</f>
        <v>350005146</v>
      </c>
      <c r="B34" t="str">
        <f>"HOPITAL PRIVE SEVIGNE"</f>
        <v>HOPITAL PRIVE SEVIGNE</v>
      </c>
    </row>
    <row r="35" spans="1:2" x14ac:dyDescent="0.25">
      <c r="A35" s="75" t="str">
        <f>"290019777"</f>
        <v>290019777</v>
      </c>
      <c r="B35" t="str">
        <f>"POLYCLINIQUE DE KERAUDREN"</f>
        <v>POLYCLINIQUE DE KERAUDREN</v>
      </c>
    </row>
    <row r="36" spans="1:2" x14ac:dyDescent="0.25">
      <c r="A36" s="75" t="str">
        <f>"560007510"</f>
        <v>560007510</v>
      </c>
      <c r="B36" t="str">
        <f>"POLYCLINIQUE DE KERIO"</f>
        <v>POLYCLINIQUE DE KERIO</v>
      </c>
    </row>
    <row r="37" spans="1:2" x14ac:dyDescent="0.25">
      <c r="A37" s="75" t="str">
        <f>"220005599"</f>
        <v>220005599</v>
      </c>
      <c r="B37" t="str">
        <f>"POLYCLINIQUE DU PAYS DE RANCE"</f>
        <v>POLYCLINIQUE DU PAYS DE RANCE</v>
      </c>
    </row>
    <row r="38" spans="1:2" x14ac:dyDescent="0.25">
      <c r="A38" s="75" t="str">
        <f>"220000111"</f>
        <v>220000111</v>
      </c>
      <c r="B38" t="str">
        <f>"POLYCLINIQUE DU TREGOR"</f>
        <v>POLYCLINIQUE DU TREGOR</v>
      </c>
    </row>
    <row r="39" spans="1:2" x14ac:dyDescent="0.25">
      <c r="A39" s="75" t="str">
        <f>"350054680"</f>
        <v>350054680</v>
      </c>
      <c r="B39" t="str">
        <f>"POLYCLINIQUE SAINT LAURENT"</f>
        <v>POLYCLINIQUE SAINT LAURENT</v>
      </c>
    </row>
    <row r="40" spans="1:2" x14ac:dyDescent="0.25">
      <c r="A40" s="75" t="str">
        <f>"290023431"</f>
        <v>290023431</v>
      </c>
      <c r="B40" t="str">
        <f>"SAS CLINIQUE DE LA BAIE"</f>
        <v>SAS CLINIQUE DE LA BAIE</v>
      </c>
    </row>
  </sheetData>
  <sortState xmlns:xlrd2="http://schemas.microsoft.com/office/spreadsheetml/2017/richdata2" ref="D2:D7">
    <sortCondition ref="D7"/>
  </sortState>
  <phoneticPr fontId="27" type="noConversion"/>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4AAD"/>
    <pageSetUpPr fitToPage="1"/>
  </sheetPr>
  <dimension ref="A1:C9"/>
  <sheetViews>
    <sheetView topLeftCell="A6" zoomScaleNormal="100" workbookViewId="0">
      <selection activeCell="A10" sqref="A10"/>
    </sheetView>
  </sheetViews>
  <sheetFormatPr baseColWidth="10" defaultColWidth="11.42578125" defaultRowHeight="16.5" x14ac:dyDescent="0.25"/>
  <cols>
    <col min="1" max="1" width="32.85546875" style="19" customWidth="1"/>
    <col min="2" max="2" width="125.42578125" style="19" bestFit="1" customWidth="1"/>
    <col min="3" max="3" width="27.28515625" style="19" customWidth="1"/>
    <col min="4" max="16384" width="11.42578125" style="19"/>
  </cols>
  <sheetData>
    <row r="1" spans="1:3" ht="21.75" customHeight="1" x14ac:dyDescent="0.25">
      <c r="B1" s="408" t="s">
        <v>0</v>
      </c>
      <c r="C1" s="263"/>
    </row>
    <row r="2" spans="1:3" x14ac:dyDescent="0.25">
      <c r="B2" s="48" t="s">
        <v>293</v>
      </c>
      <c r="C2" s="20" t="s">
        <v>1</v>
      </c>
    </row>
    <row r="3" spans="1:3" x14ac:dyDescent="0.25">
      <c r="B3" s="259" t="s">
        <v>2</v>
      </c>
      <c r="C3" s="260"/>
    </row>
    <row r="4" spans="1:3" s="411" customFormat="1" ht="15" x14ac:dyDescent="0.25">
      <c r="A4" s="412"/>
      <c r="B4" s="412"/>
      <c r="C4" s="412"/>
    </row>
    <row r="5" spans="1:3" ht="41.25" customHeight="1" x14ac:dyDescent="0.25">
      <c r="A5" s="261" t="s">
        <v>459</v>
      </c>
      <c r="B5" s="409"/>
      <c r="C5" s="262"/>
    </row>
    <row r="6" spans="1:3" ht="172.5" customHeight="1" x14ac:dyDescent="0.25">
      <c r="A6" s="261" t="s">
        <v>478</v>
      </c>
      <c r="B6" s="409"/>
      <c r="C6" s="410"/>
    </row>
    <row r="7" spans="1:3" ht="122.25" customHeight="1" x14ac:dyDescent="0.25">
      <c r="A7" s="261" t="s">
        <v>480</v>
      </c>
      <c r="B7" s="409"/>
      <c r="C7" s="410"/>
    </row>
    <row r="8" spans="1:3" ht="84" customHeight="1" x14ac:dyDescent="0.25">
      <c r="A8" s="261" t="s">
        <v>462</v>
      </c>
      <c r="B8" s="409"/>
      <c r="C8" s="410"/>
    </row>
    <row r="9" spans="1:3" ht="39" customHeight="1" x14ac:dyDescent="0.25">
      <c r="A9" s="261" t="s">
        <v>481</v>
      </c>
      <c r="B9" s="409"/>
      <c r="C9" s="410"/>
    </row>
  </sheetData>
  <mergeCells count="7">
    <mergeCell ref="A9:C9"/>
    <mergeCell ref="B1:C1"/>
    <mergeCell ref="A5:C5"/>
    <mergeCell ref="A6:C6"/>
    <mergeCell ref="A7:C7"/>
    <mergeCell ref="A8:C8"/>
    <mergeCell ref="A4:C4"/>
  </mergeCells>
  <pageMargins left="0.7" right="0.7" top="0.75" bottom="0.75" header="0.3" footer="0.3"/>
  <pageSetup paperSize="9" scale="99" fitToHeight="0" orientation="landscape" r:id="rId1"/>
  <headerFooter>
    <oddFooter>&amp;C&amp;"Segoe UI Emoji,Normal"&amp;10&amp;K034EA2Audit traçabilité sanitaire des DMI - OMEDIT Normandie et OMEDIT Pays de la Loire - V3_Juin 2023</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8B6FF"/>
  </sheetPr>
  <dimension ref="A1:M43"/>
  <sheetViews>
    <sheetView zoomScaleNormal="100" workbookViewId="0">
      <selection activeCell="B14" sqref="B14"/>
    </sheetView>
  </sheetViews>
  <sheetFormatPr baseColWidth="10" defaultColWidth="11.42578125" defaultRowHeight="14.25" x14ac:dyDescent="0.25"/>
  <cols>
    <col min="1" max="1" width="35.7109375" style="422" bestFit="1" customWidth="1"/>
    <col min="2" max="2" width="25.140625" style="422" bestFit="1" customWidth="1"/>
    <col min="3" max="3" width="19.140625" style="422" bestFit="1" customWidth="1"/>
    <col min="4" max="5" width="15" style="422" bestFit="1" customWidth="1"/>
    <col min="6" max="6" width="25.7109375" style="422" customWidth="1"/>
    <col min="7" max="7" width="38.28515625" style="422" bestFit="1" customWidth="1"/>
    <col min="8" max="8" width="20.28515625" style="422" customWidth="1"/>
    <col min="9" max="9" width="14.140625" style="422" customWidth="1"/>
    <col min="10" max="10" width="38.28515625" style="422" bestFit="1" customWidth="1"/>
    <col min="11" max="11" width="35.85546875" style="422" bestFit="1" customWidth="1"/>
    <col min="12" max="12" width="29.7109375" style="422" bestFit="1" customWidth="1"/>
    <col min="13" max="13" width="53.7109375" style="422" bestFit="1" customWidth="1"/>
    <col min="14" max="16384" width="11.42578125" style="422"/>
  </cols>
  <sheetData>
    <row r="1" spans="1:13" ht="15" customHeight="1" x14ac:dyDescent="0.25">
      <c r="A1" s="421" t="s">
        <v>171</v>
      </c>
      <c r="B1" s="406"/>
    </row>
    <row r="2" spans="1:13" ht="15" customHeight="1" x14ac:dyDescent="0.25">
      <c r="A2" s="421" t="s">
        <v>170</v>
      </c>
      <c r="B2" s="406"/>
    </row>
    <row r="3" spans="1:13" ht="15" customHeight="1" x14ac:dyDescent="0.25">
      <c r="A3" s="421" t="s">
        <v>461</v>
      </c>
      <c r="B3" s="406"/>
    </row>
    <row r="4" spans="1:13" ht="15" customHeight="1" x14ac:dyDescent="0.25">
      <c r="A4" s="421" t="s">
        <v>460</v>
      </c>
      <c r="B4" s="407"/>
    </row>
    <row r="5" spans="1:13" x14ac:dyDescent="0.25">
      <c r="A5" s="421" t="s">
        <v>183</v>
      </c>
      <c r="B5" s="406"/>
    </row>
    <row r="6" spans="1:13" ht="15" customHeight="1" x14ac:dyDescent="0.25">
      <c r="A6" s="421" t="s">
        <v>184</v>
      </c>
      <c r="B6" s="407"/>
    </row>
    <row r="7" spans="1:13" ht="15" customHeight="1" thickBot="1" x14ac:dyDescent="0.3"/>
    <row r="8" spans="1:13" ht="15" customHeight="1" thickBot="1" x14ac:dyDescent="0.3">
      <c r="A8" s="423" t="s">
        <v>3</v>
      </c>
      <c r="B8" s="423"/>
      <c r="C8" s="423"/>
      <c r="D8" s="423"/>
      <c r="E8" s="423"/>
      <c r="F8" s="423"/>
      <c r="G8" s="423"/>
      <c r="H8" s="51"/>
    </row>
    <row r="9" spans="1:13" ht="15" thickBot="1" x14ac:dyDescent="0.3"/>
    <row r="10" spans="1:13" ht="15" thickBot="1" x14ac:dyDescent="0.3">
      <c r="A10" s="423" t="s">
        <v>4</v>
      </c>
      <c r="B10" s="423"/>
      <c r="C10" s="423"/>
      <c r="D10" s="423"/>
      <c r="E10" s="423"/>
      <c r="F10" s="423"/>
      <c r="G10" s="423"/>
      <c r="H10" s="51"/>
    </row>
    <row r="11" spans="1:13" ht="14.25" customHeight="1" x14ac:dyDescent="0.25"/>
    <row r="12" spans="1:13" x14ac:dyDescent="0.25">
      <c r="A12" s="424" t="s">
        <v>218</v>
      </c>
      <c r="B12" s="424"/>
      <c r="C12" s="424"/>
      <c r="D12" s="424"/>
      <c r="E12" s="424"/>
      <c r="F12" s="424"/>
      <c r="G12" s="424"/>
      <c r="H12" s="424"/>
      <c r="J12" s="497" t="s">
        <v>219</v>
      </c>
      <c r="K12" s="498"/>
      <c r="L12" s="498"/>
      <c r="M12" s="498"/>
    </row>
    <row r="13" spans="1:13" ht="42.75" x14ac:dyDescent="0.25">
      <c r="A13" s="425" t="s">
        <v>8</v>
      </c>
      <c r="B13" s="425" t="s">
        <v>9</v>
      </c>
      <c r="C13" s="425" t="s">
        <v>10</v>
      </c>
      <c r="D13" s="425" t="s">
        <v>11</v>
      </c>
      <c r="E13" s="425" t="s">
        <v>458</v>
      </c>
      <c r="F13" s="425" t="s">
        <v>468</v>
      </c>
      <c r="G13" s="425" t="s">
        <v>457</v>
      </c>
      <c r="H13" s="425" t="s">
        <v>453</v>
      </c>
      <c r="J13" s="425" t="s">
        <v>156</v>
      </c>
      <c r="K13" s="425" t="s">
        <v>6</v>
      </c>
      <c r="L13" s="425" t="s">
        <v>467</v>
      </c>
      <c r="M13" s="425" t="s">
        <v>7</v>
      </c>
    </row>
    <row r="14" spans="1:13" ht="28.5" x14ac:dyDescent="0.25">
      <c r="A14" s="426" t="s">
        <v>13</v>
      </c>
      <c r="B14" s="53"/>
      <c r="C14" s="53"/>
      <c r="D14" s="49"/>
      <c r="E14" s="49"/>
      <c r="F14" s="55" t="s">
        <v>292</v>
      </c>
      <c r="G14" s="52" t="s">
        <v>469</v>
      </c>
      <c r="H14" s="501"/>
      <c r="J14" s="55" t="s">
        <v>292</v>
      </c>
      <c r="K14" s="52" t="s">
        <v>440</v>
      </c>
      <c r="L14" s="49">
        <v>120</v>
      </c>
      <c r="M14" s="427">
        <f>L14*$K$30/$K$29</f>
        <v>17.142857142857142</v>
      </c>
    </row>
    <row r="15" spans="1:13" ht="28.5" x14ac:dyDescent="0.25">
      <c r="A15" s="426" t="s">
        <v>14</v>
      </c>
      <c r="B15" s="53"/>
      <c r="C15" s="53"/>
      <c r="D15" s="49"/>
      <c r="E15" s="49"/>
      <c r="F15" s="55" t="s">
        <v>107</v>
      </c>
      <c r="G15" s="52" t="s">
        <v>470</v>
      </c>
      <c r="H15" s="501"/>
      <c r="J15" s="55" t="s">
        <v>107</v>
      </c>
      <c r="K15" s="52" t="s">
        <v>441</v>
      </c>
      <c r="L15" s="49">
        <v>40</v>
      </c>
      <c r="M15" s="427">
        <f>L15*$K$30/$K$29</f>
        <v>5.7142857142857144</v>
      </c>
    </row>
    <row r="16" spans="1:13" x14ac:dyDescent="0.25">
      <c r="A16" s="426" t="s">
        <v>16</v>
      </c>
      <c r="B16" s="53"/>
      <c r="C16" s="53"/>
      <c r="D16" s="49"/>
      <c r="E16" s="49"/>
      <c r="F16" s="55" t="s">
        <v>15</v>
      </c>
      <c r="G16" s="52" t="s">
        <v>471</v>
      </c>
      <c r="H16" s="501"/>
      <c r="J16" s="55" t="s">
        <v>15</v>
      </c>
      <c r="K16" s="52" t="s">
        <v>442</v>
      </c>
      <c r="L16" s="49">
        <v>50</v>
      </c>
      <c r="M16" s="427">
        <f>L16*$K$30/$K$29</f>
        <v>7.1428571428571432</v>
      </c>
    </row>
    <row r="17" spans="1:13" x14ac:dyDescent="0.25">
      <c r="A17" s="426" t="s">
        <v>17</v>
      </c>
      <c r="B17" s="53"/>
      <c r="C17" s="53"/>
      <c r="D17" s="49"/>
      <c r="E17" s="49"/>
      <c r="F17" s="55"/>
      <c r="G17" s="52" t="s">
        <v>472</v>
      </c>
      <c r="H17" s="501"/>
      <c r="J17" s="55"/>
      <c r="K17" s="52"/>
      <c r="L17" s="49"/>
      <c r="M17" s="427">
        <f>L17*$K$30/$K$29</f>
        <v>0</v>
      </c>
    </row>
    <row r="18" spans="1:13" x14ac:dyDescent="0.25">
      <c r="A18" s="426" t="s">
        <v>18</v>
      </c>
      <c r="B18" s="53"/>
      <c r="C18" s="53"/>
      <c r="D18" s="49"/>
      <c r="E18" s="49"/>
      <c r="F18" s="55"/>
      <c r="G18" s="52" t="s">
        <v>473</v>
      </c>
      <c r="H18" s="501"/>
      <c r="J18" s="55"/>
      <c r="K18" s="52"/>
      <c r="L18" s="49"/>
      <c r="M18" s="427">
        <f>L18*$K$30/$K$29</f>
        <v>0</v>
      </c>
    </row>
    <row r="19" spans="1:13" x14ac:dyDescent="0.25">
      <c r="A19" s="426" t="s">
        <v>19</v>
      </c>
      <c r="B19" s="53"/>
      <c r="C19" s="53"/>
      <c r="D19" s="49"/>
      <c r="E19" s="49"/>
      <c r="F19" s="55"/>
      <c r="G19" s="52" t="s">
        <v>474</v>
      </c>
      <c r="H19" s="501"/>
      <c r="J19" s="55"/>
      <c r="K19" s="52"/>
      <c r="L19" s="49"/>
      <c r="M19" s="427">
        <f>L19*$K$30/$K$29</f>
        <v>0</v>
      </c>
    </row>
    <row r="20" spans="1:13" x14ac:dyDescent="0.25">
      <c r="A20" s="426" t="s">
        <v>20</v>
      </c>
      <c r="B20" s="53"/>
      <c r="C20" s="53"/>
      <c r="D20" s="49"/>
      <c r="E20" s="49"/>
      <c r="F20" s="55"/>
      <c r="G20" s="52" t="s">
        <v>475</v>
      </c>
      <c r="H20" s="501"/>
      <c r="J20" s="55"/>
      <c r="K20" s="52"/>
      <c r="L20" s="49"/>
      <c r="M20" s="427">
        <f>L20*$K$30/$K$29</f>
        <v>0</v>
      </c>
    </row>
    <row r="21" spans="1:13" x14ac:dyDescent="0.25">
      <c r="A21" s="426" t="s">
        <v>21</v>
      </c>
      <c r="B21" s="53"/>
      <c r="C21" s="53"/>
      <c r="D21" s="49"/>
      <c r="E21" s="49"/>
      <c r="F21" s="55"/>
      <c r="G21" s="52" t="s">
        <v>476</v>
      </c>
      <c r="H21" s="501"/>
      <c r="J21" s="55"/>
      <c r="K21" s="52"/>
      <c r="L21" s="49"/>
      <c r="M21" s="427">
        <f>L21*$K$30/$K$29</f>
        <v>0</v>
      </c>
    </row>
    <row r="22" spans="1:13" x14ac:dyDescent="0.25">
      <c r="A22" s="426" t="s">
        <v>22</v>
      </c>
      <c r="B22" s="53"/>
      <c r="C22" s="53"/>
      <c r="D22" s="49"/>
      <c r="E22" s="49"/>
      <c r="F22" s="55"/>
      <c r="G22" s="52" t="s">
        <v>477</v>
      </c>
      <c r="H22" s="501"/>
      <c r="J22" s="55"/>
      <c r="K22" s="52"/>
      <c r="L22" s="49"/>
      <c r="M22" s="427">
        <f>L22*$K$30/$K$29</f>
        <v>0</v>
      </c>
    </row>
    <row r="23" spans="1:13" x14ac:dyDescent="0.25">
      <c r="A23" s="426" t="s">
        <v>23</v>
      </c>
      <c r="B23" s="53"/>
      <c r="C23" s="53"/>
      <c r="D23" s="49"/>
      <c r="E23" s="49"/>
      <c r="F23" s="55"/>
      <c r="G23" s="52" t="s">
        <v>443</v>
      </c>
      <c r="H23" s="501"/>
      <c r="J23" s="55"/>
      <c r="K23" s="52"/>
      <c r="L23" s="49"/>
      <c r="M23" s="427">
        <f>L23*$K$30/$K$29</f>
        <v>0</v>
      </c>
    </row>
    <row r="24" spans="1:13" x14ac:dyDescent="0.25">
      <c r="A24" s="426" t="s">
        <v>198</v>
      </c>
      <c r="B24" s="53"/>
      <c r="C24" s="53"/>
      <c r="D24" s="49"/>
      <c r="E24" s="49"/>
      <c r="F24" s="55"/>
      <c r="G24" s="52"/>
      <c r="H24" s="501"/>
      <c r="J24" s="55"/>
      <c r="K24" s="52"/>
      <c r="L24" s="49"/>
      <c r="M24" s="427">
        <f>L24*$K$30/$K$29</f>
        <v>0</v>
      </c>
    </row>
    <row r="25" spans="1:13" x14ac:dyDescent="0.25">
      <c r="A25" s="426" t="s">
        <v>199</v>
      </c>
      <c r="B25" s="53"/>
      <c r="C25" s="53"/>
      <c r="D25" s="49"/>
      <c r="E25" s="49"/>
      <c r="F25" s="55"/>
      <c r="G25" s="52"/>
      <c r="H25" s="501"/>
      <c r="J25" s="55"/>
      <c r="K25" s="52"/>
      <c r="L25" s="49"/>
      <c r="M25" s="427">
        <f>L25*$K$30/$K$29</f>
        <v>0</v>
      </c>
    </row>
    <row r="26" spans="1:13" x14ac:dyDescent="0.25">
      <c r="A26" s="426" t="s">
        <v>200</v>
      </c>
      <c r="B26" s="53"/>
      <c r="C26" s="53"/>
      <c r="D26" s="49"/>
      <c r="E26" s="49"/>
      <c r="F26" s="56"/>
      <c r="G26" s="52"/>
      <c r="H26" s="501"/>
      <c r="J26" s="56"/>
      <c r="K26" s="54"/>
      <c r="L26" s="50"/>
      <c r="M26" s="427">
        <f>L26*$K$30/$K$29</f>
        <v>0</v>
      </c>
    </row>
    <row r="27" spans="1:13" x14ac:dyDescent="0.25">
      <c r="A27" s="426" t="s">
        <v>201</v>
      </c>
      <c r="B27" s="53"/>
      <c r="C27" s="53"/>
      <c r="D27" s="49"/>
      <c r="E27" s="49"/>
      <c r="F27" s="56"/>
      <c r="G27" s="52"/>
      <c r="H27" s="501"/>
      <c r="M27" s="428"/>
    </row>
    <row r="28" spans="1:13" ht="15" x14ac:dyDescent="0.25">
      <c r="A28" s="426" t="s">
        <v>202</v>
      </c>
      <c r="B28" s="53"/>
      <c r="C28" s="53"/>
      <c r="D28" s="49"/>
      <c r="E28" s="49"/>
      <c r="F28" s="56"/>
      <c r="G28" s="52"/>
      <c r="H28" s="501"/>
      <c r="J28" s="499" t="s">
        <v>24</v>
      </c>
      <c r="K28" s="499" t="s">
        <v>25</v>
      </c>
      <c r="L28" s="499"/>
      <c r="M28" s="429"/>
    </row>
    <row r="29" spans="1:13" ht="15" x14ac:dyDescent="0.25">
      <c r="A29" s="426" t="s">
        <v>203</v>
      </c>
      <c r="B29" s="53"/>
      <c r="C29" s="53"/>
      <c r="D29" s="49"/>
      <c r="E29" s="49"/>
      <c r="F29" s="56"/>
      <c r="G29" s="52"/>
      <c r="H29" s="501"/>
      <c r="J29" s="499" t="s">
        <v>26</v>
      </c>
      <c r="K29" s="499">
        <f>SUM(L14:L26)</f>
        <v>210</v>
      </c>
      <c r="L29" s="499"/>
    </row>
    <row r="30" spans="1:13" ht="15" x14ac:dyDescent="0.25">
      <c r="A30" s="426" t="s">
        <v>204</v>
      </c>
      <c r="B30" s="53"/>
      <c r="C30" s="53"/>
      <c r="D30" s="49"/>
      <c r="E30" s="49"/>
      <c r="F30" s="56"/>
      <c r="G30" s="52"/>
      <c r="H30" s="501"/>
      <c r="J30" s="499" t="s">
        <v>27</v>
      </c>
      <c r="K30" s="500">
        <v>30</v>
      </c>
      <c r="L30" s="500"/>
    </row>
    <row r="31" spans="1:13" x14ac:dyDescent="0.25">
      <c r="A31" s="426" t="s">
        <v>205</v>
      </c>
      <c r="B31" s="53"/>
      <c r="C31" s="53"/>
      <c r="D31" s="49"/>
      <c r="E31" s="49"/>
      <c r="F31" s="56"/>
      <c r="G31" s="52"/>
      <c r="H31" s="501"/>
    </row>
    <row r="32" spans="1:13" x14ac:dyDescent="0.25">
      <c r="A32" s="426" t="s">
        <v>206</v>
      </c>
      <c r="B32" s="53"/>
      <c r="C32" s="53"/>
      <c r="D32" s="49"/>
      <c r="E32" s="49"/>
      <c r="F32" s="56"/>
      <c r="G32" s="52"/>
      <c r="H32" s="501"/>
    </row>
    <row r="33" spans="1:8" x14ac:dyDescent="0.25">
      <c r="A33" s="426" t="s">
        <v>207</v>
      </c>
      <c r="B33" s="53"/>
      <c r="C33" s="53"/>
      <c r="D33" s="49"/>
      <c r="E33" s="49"/>
      <c r="F33" s="56"/>
      <c r="G33" s="52"/>
      <c r="H33" s="501"/>
    </row>
    <row r="34" spans="1:8" x14ac:dyDescent="0.25">
      <c r="A34" s="426" t="s">
        <v>208</v>
      </c>
      <c r="B34" s="53"/>
      <c r="C34" s="53"/>
      <c r="D34" s="49"/>
      <c r="E34" s="49"/>
      <c r="F34" s="56"/>
      <c r="G34" s="52"/>
      <c r="H34" s="501"/>
    </row>
    <row r="35" spans="1:8" x14ac:dyDescent="0.25">
      <c r="A35" s="426" t="s">
        <v>209</v>
      </c>
      <c r="B35" s="53"/>
      <c r="C35" s="53"/>
      <c r="D35" s="49"/>
      <c r="E35" s="49"/>
      <c r="F35" s="56"/>
      <c r="G35" s="52"/>
      <c r="H35" s="501"/>
    </row>
    <row r="36" spans="1:8" x14ac:dyDescent="0.25">
      <c r="A36" s="426" t="s">
        <v>210</v>
      </c>
      <c r="B36" s="53"/>
      <c r="C36" s="53"/>
      <c r="D36" s="49"/>
      <c r="E36" s="49"/>
      <c r="F36" s="56"/>
      <c r="G36" s="52"/>
      <c r="H36" s="501"/>
    </row>
    <row r="37" spans="1:8" x14ac:dyDescent="0.25">
      <c r="A37" s="426" t="s">
        <v>211</v>
      </c>
      <c r="B37" s="53"/>
      <c r="C37" s="53"/>
      <c r="D37" s="49"/>
      <c r="E37" s="49"/>
      <c r="F37" s="56"/>
      <c r="G37" s="52"/>
      <c r="H37" s="501"/>
    </row>
    <row r="38" spans="1:8" x14ac:dyDescent="0.25">
      <c r="A38" s="426" t="s">
        <v>212</v>
      </c>
      <c r="B38" s="53"/>
      <c r="C38" s="53"/>
      <c r="D38" s="49"/>
      <c r="E38" s="49"/>
      <c r="F38" s="56"/>
      <c r="G38" s="52"/>
      <c r="H38" s="501"/>
    </row>
    <row r="39" spans="1:8" x14ac:dyDescent="0.25">
      <c r="A39" s="426" t="s">
        <v>213</v>
      </c>
      <c r="B39" s="53"/>
      <c r="C39" s="53"/>
      <c r="D39" s="49"/>
      <c r="E39" s="49"/>
      <c r="F39" s="56"/>
      <c r="G39" s="52"/>
      <c r="H39" s="501"/>
    </row>
    <row r="40" spans="1:8" x14ac:dyDescent="0.25">
      <c r="A40" s="426" t="s">
        <v>214</v>
      </c>
      <c r="B40" s="53"/>
      <c r="C40" s="53"/>
      <c r="D40" s="49"/>
      <c r="E40" s="49"/>
      <c r="F40" s="56"/>
      <c r="G40" s="52"/>
      <c r="H40" s="501"/>
    </row>
    <row r="41" spans="1:8" x14ac:dyDescent="0.25">
      <c r="A41" s="426" t="s">
        <v>215</v>
      </c>
      <c r="B41" s="53"/>
      <c r="C41" s="53"/>
      <c r="D41" s="49"/>
      <c r="E41" s="49"/>
      <c r="F41" s="56"/>
      <c r="G41" s="52"/>
      <c r="H41" s="501"/>
    </row>
    <row r="42" spans="1:8" x14ac:dyDescent="0.25">
      <c r="A42" s="426" t="s">
        <v>216</v>
      </c>
      <c r="B42" s="53"/>
      <c r="C42" s="53"/>
      <c r="D42" s="49"/>
      <c r="E42" s="49"/>
      <c r="F42" s="56"/>
      <c r="G42" s="52"/>
      <c r="H42" s="501"/>
    </row>
    <row r="43" spans="1:8" x14ac:dyDescent="0.25">
      <c r="A43" s="426" t="s">
        <v>217</v>
      </c>
      <c r="B43" s="53"/>
      <c r="C43" s="53"/>
      <c r="D43" s="49"/>
      <c r="E43" s="49"/>
      <c r="F43" s="56"/>
      <c r="G43" s="52"/>
      <c r="H43" s="501"/>
    </row>
  </sheetData>
  <sheetProtection algorithmName="SHA-512" hashValue="29JigpfVvfP8Tq2IX9GK2XW0CI6rni8z/JuBCZZjfUqRCwww2MyxMBvN2Kw1buLw8rc6xIqPGSUtjrVyRWD1qQ==" saltValue="ZMJSsG71aEICiHsgsiDyUw==" spinCount="100000" sheet="1" objects="1" scenarios="1" formatCells="0" formatColumns="0" formatRows="0" autoFilter="0" pivotTables="0"/>
  <mergeCells count="4">
    <mergeCell ref="A12:H12"/>
    <mergeCell ref="A10:G10"/>
    <mergeCell ref="A8:G8"/>
    <mergeCell ref="J12:M12"/>
  </mergeCells>
  <phoneticPr fontId="27" type="noConversion"/>
  <pageMargins left="0.7" right="0.7" top="0.75" bottom="0.75" header="0.3" footer="0.3"/>
  <pageSetup paperSize="9" orientation="landscape" r:id="rId1"/>
  <headerFooter>
    <oddFooter>&amp;C&amp;"Segoe UI Emoji,Normal"&amp;10&amp;K034EA2Audit traçabilité sanitaire des DMI - OMEDIT Normandie et OMEDIT Pays de la Loire - V3_Juin 2023</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2000000}">
          <x14:formula1>
            <xm:f>'Menus déroulants'!$P$2:$P$3</xm:f>
          </x14:formula1>
          <xm:sqref>D14:D43</xm:sqref>
        </x14:dataValidation>
        <x14:dataValidation type="list" allowBlank="1" showInputMessage="1" showErrorMessage="1" xr:uid="{00000000-0002-0000-0100-000003000000}">
          <x14:formula1>
            <xm:f>'Menus déroulants'!$Q$2:$Q$3</xm:f>
          </x14:formula1>
          <xm:sqref>E14:E43</xm:sqref>
        </x14:dataValidation>
        <x14:dataValidation type="list" allowBlank="1" showInputMessage="1" showErrorMessage="1" xr:uid="{00000000-0002-0000-0100-000000000000}">
          <x14:formula1>
            <xm:f>'Menus déroulants'!$K$2:$K$3</xm:f>
          </x14:formula1>
          <xm:sqref>H10 H8</xm:sqref>
        </x14:dataValidation>
        <x14:dataValidation type="list" allowBlank="1" showInputMessage="1" showErrorMessage="1" xr:uid="{00000000-0002-0000-0100-000001000000}">
          <x14:formula1>
            <xm:f>'Menus déroulants'!$C$2:$C$12</xm:f>
          </x14:formula1>
          <xm:sqref>F14:F43 J14:J26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F63"/>
  </sheetPr>
  <dimension ref="A1:AN103"/>
  <sheetViews>
    <sheetView zoomScaleNormal="100" workbookViewId="0">
      <pane xSplit="2" ySplit="12" topLeftCell="I41" activePane="bottomRight" state="frozen"/>
      <selection pane="topRight" activeCell="C1" sqref="C1"/>
      <selection pane="bottomLeft" activeCell="A9" sqref="A9"/>
      <selection pane="bottomRight" activeCell="N46" sqref="N46"/>
    </sheetView>
  </sheetViews>
  <sheetFormatPr baseColWidth="10" defaultColWidth="11.42578125" defaultRowHeight="14.25" x14ac:dyDescent="0.25"/>
  <cols>
    <col min="1" max="1" width="23.140625" style="430" customWidth="1"/>
    <col min="2" max="2" width="79" style="431" customWidth="1"/>
    <col min="3" max="32" width="24.7109375" style="432" customWidth="1"/>
    <col min="33" max="33" width="6.7109375" style="432" customWidth="1"/>
    <col min="34" max="16384" width="11.42578125" style="432"/>
  </cols>
  <sheetData>
    <row r="1" spans="1:33" ht="15" thickBot="1" x14ac:dyDescent="0.3"/>
    <row r="2" spans="1:33" ht="15" thickBot="1" x14ac:dyDescent="0.3">
      <c r="B2" s="432"/>
      <c r="C2" s="433" t="s">
        <v>28</v>
      </c>
      <c r="D2" s="434" t="s">
        <v>29</v>
      </c>
      <c r="E2" s="434" t="s">
        <v>30</v>
      </c>
      <c r="F2" s="434" t="s">
        <v>31</v>
      </c>
      <c r="G2" s="434" t="s">
        <v>32</v>
      </c>
      <c r="H2" s="434" t="s">
        <v>33</v>
      </c>
      <c r="I2" s="434" t="s">
        <v>34</v>
      </c>
      <c r="J2" s="434" t="s">
        <v>35</v>
      </c>
      <c r="K2" s="434" t="s">
        <v>36</v>
      </c>
      <c r="L2" s="434" t="s">
        <v>37</v>
      </c>
      <c r="M2" s="434" t="s">
        <v>38</v>
      </c>
      <c r="N2" s="434" t="s">
        <v>39</v>
      </c>
      <c r="O2" s="434" t="s">
        <v>40</v>
      </c>
      <c r="P2" s="434" t="s">
        <v>41</v>
      </c>
      <c r="Q2" s="434" t="s">
        <v>42</v>
      </c>
      <c r="R2" s="434" t="s">
        <v>43</v>
      </c>
      <c r="S2" s="434" t="s">
        <v>44</v>
      </c>
      <c r="T2" s="434" t="s">
        <v>45</v>
      </c>
      <c r="U2" s="434" t="s">
        <v>46</v>
      </c>
      <c r="V2" s="434" t="s">
        <v>47</v>
      </c>
      <c r="W2" s="434" t="s">
        <v>48</v>
      </c>
      <c r="X2" s="434" t="s">
        <v>49</v>
      </c>
      <c r="Y2" s="434" t="s">
        <v>50</v>
      </c>
      <c r="Z2" s="434" t="s">
        <v>51</v>
      </c>
      <c r="AA2" s="434" t="s">
        <v>52</v>
      </c>
      <c r="AB2" s="434" t="s">
        <v>53</v>
      </c>
      <c r="AC2" s="434" t="s">
        <v>54</v>
      </c>
      <c r="AD2" s="434" t="s">
        <v>55</v>
      </c>
      <c r="AE2" s="434" t="s">
        <v>56</v>
      </c>
      <c r="AF2" s="434" t="s">
        <v>57</v>
      </c>
      <c r="AG2" s="435"/>
    </row>
    <row r="3" spans="1:33" hidden="1" x14ac:dyDescent="0.25">
      <c r="A3" s="436" t="s">
        <v>235</v>
      </c>
      <c r="B3" s="437"/>
      <c r="C3" s="438">
        <f>Périmètre!$B$1</f>
        <v>0</v>
      </c>
      <c r="D3" s="438">
        <f>Périmètre!$B$1</f>
        <v>0</v>
      </c>
      <c r="E3" s="438">
        <f>Périmètre!$B$1</f>
        <v>0</v>
      </c>
      <c r="F3" s="438">
        <f>Périmètre!$B$1</f>
        <v>0</v>
      </c>
      <c r="G3" s="438">
        <f>Périmètre!$B$1</f>
        <v>0</v>
      </c>
      <c r="H3" s="438">
        <f>Périmètre!$B$1</f>
        <v>0</v>
      </c>
      <c r="I3" s="438">
        <f>Périmètre!$B$1</f>
        <v>0</v>
      </c>
      <c r="J3" s="438">
        <f>Périmètre!$B$1</f>
        <v>0</v>
      </c>
      <c r="K3" s="438">
        <f>Périmètre!$B$1</f>
        <v>0</v>
      </c>
      <c r="L3" s="438">
        <f>Périmètre!$B$1</f>
        <v>0</v>
      </c>
      <c r="M3" s="438">
        <f>Périmètre!$B$1</f>
        <v>0</v>
      </c>
      <c r="N3" s="438">
        <f>Périmètre!$B$1</f>
        <v>0</v>
      </c>
      <c r="O3" s="438">
        <f>Périmètre!$B$1</f>
        <v>0</v>
      </c>
      <c r="P3" s="438">
        <f>Périmètre!$B$1</f>
        <v>0</v>
      </c>
      <c r="Q3" s="438">
        <f>Périmètre!$B$1</f>
        <v>0</v>
      </c>
      <c r="R3" s="438">
        <f>Périmètre!$B$1</f>
        <v>0</v>
      </c>
      <c r="S3" s="438">
        <f>Périmètre!$B$1</f>
        <v>0</v>
      </c>
      <c r="T3" s="438">
        <f>Périmètre!$B$1</f>
        <v>0</v>
      </c>
      <c r="U3" s="438">
        <f>Périmètre!$B$1</f>
        <v>0</v>
      </c>
      <c r="V3" s="438">
        <f>Périmètre!$B$1</f>
        <v>0</v>
      </c>
      <c r="W3" s="438">
        <f>Périmètre!$B$1</f>
        <v>0</v>
      </c>
      <c r="X3" s="438">
        <f>Périmètre!$B$1</f>
        <v>0</v>
      </c>
      <c r="Y3" s="438">
        <f>Périmètre!$B$1</f>
        <v>0</v>
      </c>
      <c r="Z3" s="438">
        <f>Périmètre!$B$1</f>
        <v>0</v>
      </c>
      <c r="AA3" s="438">
        <f>Périmètre!$B$1</f>
        <v>0</v>
      </c>
      <c r="AB3" s="438">
        <f>Périmètre!$B$1</f>
        <v>0</v>
      </c>
      <c r="AC3" s="438">
        <f>Périmètre!$B$1</f>
        <v>0</v>
      </c>
      <c r="AD3" s="438">
        <f>Périmètre!$B$1</f>
        <v>0</v>
      </c>
      <c r="AE3" s="438">
        <f>Périmètre!$B$1</f>
        <v>0</v>
      </c>
      <c r="AF3" s="438">
        <f>Périmètre!$B$1</f>
        <v>0</v>
      </c>
      <c r="AG3" s="435"/>
    </row>
    <row r="4" spans="1:33" ht="15" hidden="1" thickBot="1" x14ac:dyDescent="0.3">
      <c r="A4" s="436" t="s">
        <v>170</v>
      </c>
      <c r="B4" s="437"/>
      <c r="C4" s="438">
        <f>Périmètre!$B$2</f>
        <v>0</v>
      </c>
      <c r="D4" s="438">
        <f>Périmètre!$B$2</f>
        <v>0</v>
      </c>
      <c r="E4" s="438">
        <f>Périmètre!$B$2</f>
        <v>0</v>
      </c>
      <c r="F4" s="438">
        <f>Périmètre!$B$2</f>
        <v>0</v>
      </c>
      <c r="G4" s="438">
        <f>Périmètre!$B$2</f>
        <v>0</v>
      </c>
      <c r="H4" s="438">
        <f>Périmètre!$B$2</f>
        <v>0</v>
      </c>
      <c r="I4" s="438">
        <f>Périmètre!$B$2</f>
        <v>0</v>
      </c>
      <c r="J4" s="438">
        <f>Périmètre!$B$2</f>
        <v>0</v>
      </c>
      <c r="K4" s="438">
        <f>Périmètre!$B$2</f>
        <v>0</v>
      </c>
      <c r="L4" s="438">
        <f>Périmètre!$B$2</f>
        <v>0</v>
      </c>
      <c r="M4" s="438">
        <f>Périmètre!$B$2</f>
        <v>0</v>
      </c>
      <c r="N4" s="438">
        <f>Périmètre!$B$2</f>
        <v>0</v>
      </c>
      <c r="O4" s="438">
        <f>Périmètre!$B$2</f>
        <v>0</v>
      </c>
      <c r="P4" s="438">
        <f>Périmètre!$B$2</f>
        <v>0</v>
      </c>
      <c r="Q4" s="438">
        <f>Périmètre!$B$2</f>
        <v>0</v>
      </c>
      <c r="R4" s="438">
        <f>Périmètre!$B$2</f>
        <v>0</v>
      </c>
      <c r="S4" s="438">
        <f>Périmètre!$B$2</f>
        <v>0</v>
      </c>
      <c r="T4" s="438">
        <f>Périmètre!$B$2</f>
        <v>0</v>
      </c>
      <c r="U4" s="438">
        <f>Périmètre!$B$2</f>
        <v>0</v>
      </c>
      <c r="V4" s="438">
        <f>Périmètre!$B$2</f>
        <v>0</v>
      </c>
      <c r="W4" s="438">
        <f>Périmètre!$B$2</f>
        <v>0</v>
      </c>
      <c r="X4" s="438">
        <f>Périmètre!$B$2</f>
        <v>0</v>
      </c>
      <c r="Y4" s="438">
        <f>Périmètre!$B$2</f>
        <v>0</v>
      </c>
      <c r="Z4" s="438">
        <f>Périmètre!$B$2</f>
        <v>0</v>
      </c>
      <c r="AA4" s="438">
        <f>Périmètre!$B$2</f>
        <v>0</v>
      </c>
      <c r="AB4" s="438">
        <f>Périmètre!$B$2</f>
        <v>0</v>
      </c>
      <c r="AC4" s="438">
        <f>Périmètre!$B$2</f>
        <v>0</v>
      </c>
      <c r="AD4" s="438">
        <f>Périmètre!$B$2</f>
        <v>0</v>
      </c>
      <c r="AE4" s="438">
        <f>Périmètre!$B$2</f>
        <v>0</v>
      </c>
      <c r="AF4" s="438">
        <f>Périmètre!$B$2</f>
        <v>0</v>
      </c>
      <c r="AG4" s="435"/>
    </row>
    <row r="5" spans="1:33" ht="15" thickBot="1" x14ac:dyDescent="0.3">
      <c r="A5" s="439" t="s">
        <v>479</v>
      </c>
      <c r="B5" s="440"/>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6"/>
      <c r="AG5" s="441"/>
    </row>
    <row r="6" spans="1:33" ht="15" thickBot="1" x14ac:dyDescent="0.3">
      <c r="A6" s="439" t="s">
        <v>151</v>
      </c>
      <c r="B6" s="440"/>
      <c r="C6" s="45" t="s">
        <v>152</v>
      </c>
      <c r="D6" s="45" t="s">
        <v>153</v>
      </c>
      <c r="E6" s="45" t="s">
        <v>152</v>
      </c>
      <c r="F6" s="45" t="s">
        <v>153</v>
      </c>
      <c r="G6" s="45" t="s">
        <v>153</v>
      </c>
      <c r="H6" s="45" t="s">
        <v>153</v>
      </c>
      <c r="I6" s="45" t="s">
        <v>153</v>
      </c>
      <c r="J6" s="45" t="s">
        <v>152</v>
      </c>
      <c r="K6" s="45" t="s">
        <v>153</v>
      </c>
      <c r="L6" s="45" t="s">
        <v>153</v>
      </c>
      <c r="M6" s="45" t="s">
        <v>152</v>
      </c>
      <c r="N6" s="45" t="s">
        <v>152</v>
      </c>
      <c r="O6" s="45" t="s">
        <v>153</v>
      </c>
      <c r="P6" s="45" t="s">
        <v>153</v>
      </c>
      <c r="Q6" s="45" t="s">
        <v>153</v>
      </c>
      <c r="R6" s="45" t="s">
        <v>152</v>
      </c>
      <c r="S6" s="45" t="s">
        <v>153</v>
      </c>
      <c r="T6" s="45" t="s">
        <v>153</v>
      </c>
      <c r="U6" s="45" t="s">
        <v>153</v>
      </c>
      <c r="V6" s="45" t="s">
        <v>152</v>
      </c>
      <c r="W6" s="45" t="s">
        <v>153</v>
      </c>
      <c r="X6" s="45" t="s">
        <v>152</v>
      </c>
      <c r="Y6" s="45" t="s">
        <v>152</v>
      </c>
      <c r="Z6" s="45" t="s">
        <v>152</v>
      </c>
      <c r="AA6" s="45" t="s">
        <v>153</v>
      </c>
      <c r="AB6" s="45" t="s">
        <v>152</v>
      </c>
      <c r="AC6" s="45" t="s">
        <v>152</v>
      </c>
      <c r="AD6" s="45" t="s">
        <v>153</v>
      </c>
      <c r="AE6" s="45" t="s">
        <v>152</v>
      </c>
      <c r="AF6" s="45" t="s">
        <v>152</v>
      </c>
      <c r="AG6" s="441"/>
    </row>
    <row r="7" spans="1:33" ht="15" thickBot="1" x14ac:dyDescent="0.3">
      <c r="A7" s="439" t="s">
        <v>154</v>
      </c>
      <c r="B7" s="440"/>
      <c r="C7" s="45" t="s">
        <v>191</v>
      </c>
      <c r="D7" s="45" t="s">
        <v>192</v>
      </c>
      <c r="E7" s="45" t="s">
        <v>193</v>
      </c>
      <c r="F7" s="45" t="s">
        <v>194</v>
      </c>
      <c r="G7" s="45" t="s">
        <v>195</v>
      </c>
      <c r="H7" s="45" t="s">
        <v>196</v>
      </c>
      <c r="I7" s="45" t="s">
        <v>190</v>
      </c>
      <c r="J7" s="45" t="s">
        <v>196</v>
      </c>
      <c r="K7" s="45" t="s">
        <v>192</v>
      </c>
      <c r="L7" s="45" t="s">
        <v>193</v>
      </c>
      <c r="M7" s="45" t="s">
        <v>194</v>
      </c>
      <c r="N7" s="45" t="s">
        <v>195</v>
      </c>
      <c r="O7" s="45" t="s">
        <v>196</v>
      </c>
      <c r="P7" s="45" t="s">
        <v>190</v>
      </c>
      <c r="Q7" s="45" t="s">
        <v>192</v>
      </c>
      <c r="R7" s="45" t="s">
        <v>192</v>
      </c>
      <c r="S7" s="45" t="s">
        <v>193</v>
      </c>
      <c r="T7" s="45" t="s">
        <v>194</v>
      </c>
      <c r="U7" s="45" t="s">
        <v>195</v>
      </c>
      <c r="V7" s="45" t="s">
        <v>196</v>
      </c>
      <c r="W7" s="45" t="s">
        <v>190</v>
      </c>
      <c r="X7" s="45" t="s">
        <v>196</v>
      </c>
      <c r="Y7" s="45" t="s">
        <v>192</v>
      </c>
      <c r="Z7" s="45" t="s">
        <v>193</v>
      </c>
      <c r="AA7" s="45" t="s">
        <v>194</v>
      </c>
      <c r="AB7" s="45" t="s">
        <v>195</v>
      </c>
      <c r="AC7" s="45" t="s">
        <v>196</v>
      </c>
      <c r="AD7" s="45" t="s">
        <v>190</v>
      </c>
      <c r="AE7" s="45" t="s">
        <v>195</v>
      </c>
      <c r="AF7" s="45" t="s">
        <v>196</v>
      </c>
      <c r="AG7" s="441"/>
    </row>
    <row r="8" spans="1:33" ht="15" thickBot="1" x14ac:dyDescent="0.3">
      <c r="A8" s="439" t="s">
        <v>59</v>
      </c>
      <c r="B8" s="440"/>
      <c r="C8" s="45" t="s">
        <v>13</v>
      </c>
      <c r="D8" s="45" t="s">
        <v>19</v>
      </c>
      <c r="E8" s="45" t="s">
        <v>16</v>
      </c>
      <c r="F8" s="45" t="s">
        <v>14</v>
      </c>
      <c r="G8" s="45" t="s">
        <v>23</v>
      </c>
      <c r="H8" s="45"/>
      <c r="I8" s="45"/>
      <c r="J8" s="45"/>
      <c r="K8" s="45"/>
      <c r="L8" s="45"/>
      <c r="M8" s="45"/>
      <c r="N8" s="45"/>
      <c r="O8" s="45"/>
      <c r="P8" s="45"/>
      <c r="Q8" s="45"/>
      <c r="R8" s="45"/>
      <c r="S8" s="45"/>
      <c r="T8" s="45"/>
      <c r="U8" s="45"/>
      <c r="V8" s="45"/>
      <c r="W8" s="45"/>
      <c r="X8" s="45"/>
      <c r="Y8" s="45"/>
      <c r="Z8" s="45"/>
      <c r="AA8" s="45"/>
      <c r="AB8" s="45"/>
      <c r="AC8" s="45"/>
      <c r="AD8" s="45"/>
      <c r="AE8" s="45"/>
      <c r="AF8" s="45"/>
      <c r="AG8" s="441"/>
    </row>
    <row r="9" spans="1:33" s="496" customFormat="1" ht="26.25" thickBot="1" x14ac:dyDescent="0.3">
      <c r="A9" s="493" t="s">
        <v>5</v>
      </c>
      <c r="B9" s="494"/>
      <c r="C9" s="511" t="str">
        <f>VLOOKUP(C8,Périmètre!$A$13:$G$43,6,FALSE)</f>
        <v>Chirurgie cardio-vasculaire &amp; Cardiologie interventionnelle</v>
      </c>
      <c r="D9" s="511">
        <f>VLOOKUP(D8,Périmètre!$A$13:$G$43,6,FALSE)</f>
        <v>0</v>
      </c>
      <c r="E9" s="511" t="str">
        <f>VLOOKUP(E8,Périmètre!$A$13:$G$43,6,FALSE)</f>
        <v>Chirurgie ophtalmique</v>
      </c>
      <c r="F9" s="511" t="str">
        <f>VLOOKUP(F8,Périmètre!$A$13:$G$43,6,FALSE)</f>
        <v>Chirurgie digestive et viscérale</v>
      </c>
      <c r="G9" s="511">
        <f>VLOOKUP(G8,Périmètre!$A$13:$G$43,6,FALSE)</f>
        <v>0</v>
      </c>
      <c r="H9" s="511" t="e">
        <f>VLOOKUP(H8,Périmètre!$A$13:$G$43,6,FALSE)</f>
        <v>#N/A</v>
      </c>
      <c r="I9" s="511" t="e">
        <f>VLOOKUP(I8,Périmètre!$A$13:$G$43,6,FALSE)</f>
        <v>#N/A</v>
      </c>
      <c r="J9" s="511" t="e">
        <f>VLOOKUP(J8,Périmètre!$A$13:$G$43,6,FALSE)</f>
        <v>#N/A</v>
      </c>
      <c r="K9" s="511" t="e">
        <f>VLOOKUP(K8,Périmètre!$A$13:$G$43,6,FALSE)</f>
        <v>#N/A</v>
      </c>
      <c r="L9" s="511" t="e">
        <f>VLOOKUP(L8,Périmètre!$A$13:$G$43,6,FALSE)</f>
        <v>#N/A</v>
      </c>
      <c r="M9" s="511" t="e">
        <f>VLOOKUP(M8,Périmètre!$A$13:$G$43,6,FALSE)</f>
        <v>#N/A</v>
      </c>
      <c r="N9" s="511" t="e">
        <f>VLOOKUP(N8,Périmètre!$A$13:$G$43,6,FALSE)</f>
        <v>#N/A</v>
      </c>
      <c r="O9" s="511" t="e">
        <f>VLOOKUP(O8,Périmètre!$A$13:$G$43,6,FALSE)</f>
        <v>#N/A</v>
      </c>
      <c r="P9" s="511" t="e">
        <f>VLOOKUP(P8,Périmètre!$A$13:$G$43,6,FALSE)</f>
        <v>#N/A</v>
      </c>
      <c r="Q9" s="511" t="e">
        <f>VLOOKUP(Q8,Périmètre!$A$13:$G$43,6,FALSE)</f>
        <v>#N/A</v>
      </c>
      <c r="R9" s="511" t="e">
        <f>VLOOKUP(R8,Périmètre!$A$13:$G$43,6,FALSE)</f>
        <v>#N/A</v>
      </c>
      <c r="S9" s="511" t="e">
        <f>VLOOKUP(S8,Périmètre!$A$13:$G$43,6,FALSE)</f>
        <v>#N/A</v>
      </c>
      <c r="T9" s="511" t="e">
        <f>VLOOKUP(T8,Périmètre!$A$13:$G$43,6,FALSE)</f>
        <v>#N/A</v>
      </c>
      <c r="U9" s="511" t="e">
        <f>VLOOKUP(U8,Périmètre!$A$13:$G$43,6,FALSE)</f>
        <v>#N/A</v>
      </c>
      <c r="V9" s="511" t="e">
        <f>VLOOKUP(V8,Périmètre!$A$13:$G$43,6,FALSE)</f>
        <v>#N/A</v>
      </c>
      <c r="W9" s="511" t="e">
        <f>VLOOKUP(W8,Périmètre!$A$13:$G$43,6,FALSE)</f>
        <v>#N/A</v>
      </c>
      <c r="X9" s="511" t="e">
        <f>VLOOKUP(X8,Périmètre!$A$13:$G$43,6,FALSE)</f>
        <v>#N/A</v>
      </c>
      <c r="Y9" s="511" t="e">
        <f>VLOOKUP(Y8,Périmètre!$A$13:$G$43,6,FALSE)</f>
        <v>#N/A</v>
      </c>
      <c r="Z9" s="511" t="e">
        <f>VLOOKUP(Z8,Périmètre!$A$13:$G$43,6,FALSE)</f>
        <v>#N/A</v>
      </c>
      <c r="AA9" s="511" t="e">
        <f>VLOOKUP(AA8,Périmètre!$A$13:$G$43,6,FALSE)</f>
        <v>#N/A</v>
      </c>
      <c r="AB9" s="511" t="e">
        <f>VLOOKUP(AB8,Périmètre!$A$13:$G$43,6,FALSE)</f>
        <v>#N/A</v>
      </c>
      <c r="AC9" s="511" t="e">
        <f>VLOOKUP(AC8,Périmètre!$A$13:$G$43,6,FALSE)</f>
        <v>#N/A</v>
      </c>
      <c r="AD9" s="511" t="e">
        <f>VLOOKUP(AD8,Périmètre!$A$13:$G$43,6,FALSE)</f>
        <v>#N/A</v>
      </c>
      <c r="AE9" s="511" t="e">
        <f>VLOOKUP(AE8,Périmètre!$A$13:$G$43,6,FALSE)</f>
        <v>#N/A</v>
      </c>
      <c r="AF9" s="511" t="e">
        <f>VLOOKUP(AF8,Périmètre!$A$13:$G$43,6,FALSE)</f>
        <v>#N/A</v>
      </c>
      <c r="AG9" s="495"/>
    </row>
    <row r="10" spans="1:33" ht="15.75" customHeight="1" thickBot="1" x14ac:dyDescent="0.3">
      <c r="A10" s="442" t="s">
        <v>252</v>
      </c>
      <c r="B10" s="443"/>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41"/>
    </row>
    <row r="11" spans="1:33" s="496" customFormat="1" ht="13.5" thickBot="1" x14ac:dyDescent="0.3">
      <c r="A11" s="493" t="s">
        <v>58</v>
      </c>
      <c r="B11" s="494"/>
      <c r="C11" s="511" t="str">
        <f>VLOOKUP(C8,Périmètre!$A$13:$G$43,7,FALSE)</f>
        <v>CHIRURGIEN 01</v>
      </c>
      <c r="D11" s="511" t="str">
        <f>VLOOKUP(D8,Périmètre!$A$13:$G$43,7,FALSE)</f>
        <v>CHIRURGIEN 06</v>
      </c>
      <c r="E11" s="511" t="str">
        <f>VLOOKUP(E8,Périmètre!$A$13:$G$43,7,FALSE)</f>
        <v>CHIRURGIEN 03</v>
      </c>
      <c r="F11" s="511" t="str">
        <f>VLOOKUP(F8,Périmètre!$A$13:$G$43,7,FALSE)</f>
        <v>CHIRURGIEN 02</v>
      </c>
      <c r="G11" s="511" t="str">
        <f>VLOOKUP(G8,Périmètre!$A$13:$G$43,7,FALSE)</f>
        <v>CHIRURGIEN 10</v>
      </c>
      <c r="H11" s="511" t="e">
        <f>VLOOKUP(H8,Périmètre!$A$13:$G$43,7,FALSE)</f>
        <v>#N/A</v>
      </c>
      <c r="I11" s="511" t="e">
        <f>VLOOKUP(I8,Périmètre!$A$13:$G$43,7,FALSE)</f>
        <v>#N/A</v>
      </c>
      <c r="J11" s="511" t="e">
        <f>VLOOKUP(J8,Périmètre!$A$13:$G$43,7,FALSE)</f>
        <v>#N/A</v>
      </c>
      <c r="K11" s="511" t="e">
        <f>VLOOKUP(K8,Périmètre!$A$13:$G$43,7,FALSE)</f>
        <v>#N/A</v>
      </c>
      <c r="L11" s="511" t="e">
        <f>VLOOKUP(L8,Périmètre!$A$13:$G$43,7,FALSE)</f>
        <v>#N/A</v>
      </c>
      <c r="M11" s="511" t="e">
        <f>VLOOKUP(M8,Périmètre!$A$13:$G$43,7,FALSE)</f>
        <v>#N/A</v>
      </c>
      <c r="N11" s="511" t="e">
        <f>VLOOKUP(N8,Périmètre!$A$13:$G$43,7,FALSE)</f>
        <v>#N/A</v>
      </c>
      <c r="O11" s="511" t="e">
        <f>VLOOKUP(O8,Périmètre!$A$13:$G$43,7,FALSE)</f>
        <v>#N/A</v>
      </c>
      <c r="P11" s="511" t="e">
        <f>VLOOKUP(P8,Périmètre!$A$13:$G$43,7,FALSE)</f>
        <v>#N/A</v>
      </c>
      <c r="Q11" s="511" t="e">
        <f>VLOOKUP(Q8,Périmètre!$A$13:$G$43,7,FALSE)</f>
        <v>#N/A</v>
      </c>
      <c r="R11" s="511" t="e">
        <f>VLOOKUP(R8,Périmètre!$A$13:$G$43,7,FALSE)</f>
        <v>#N/A</v>
      </c>
      <c r="S11" s="511" t="e">
        <f>VLOOKUP(S8,Périmètre!$A$13:$G$43,7,FALSE)</f>
        <v>#N/A</v>
      </c>
      <c r="T11" s="511" t="e">
        <f>VLOOKUP(T8,Périmètre!$A$13:$G$43,7,FALSE)</f>
        <v>#N/A</v>
      </c>
      <c r="U11" s="511" t="e">
        <f>VLOOKUP(U8,Périmètre!$A$13:$G$43,7,FALSE)</f>
        <v>#N/A</v>
      </c>
      <c r="V11" s="511" t="e">
        <f>VLOOKUP(V8,Périmètre!$A$13:$G$43,7,FALSE)</f>
        <v>#N/A</v>
      </c>
      <c r="W11" s="511" t="e">
        <f>VLOOKUP(W8,Périmètre!$A$13:$G$43,7,FALSE)</f>
        <v>#N/A</v>
      </c>
      <c r="X11" s="511" t="e">
        <f>VLOOKUP(X8,Périmètre!$A$13:$G$43,7,FALSE)</f>
        <v>#N/A</v>
      </c>
      <c r="Y11" s="511" t="e">
        <f>VLOOKUP(Y8,Périmètre!$A$13:$G$43,7,FALSE)</f>
        <v>#N/A</v>
      </c>
      <c r="Z11" s="511" t="e">
        <f>VLOOKUP(Z8,Périmètre!$A$13:$G$43,7,FALSE)</f>
        <v>#N/A</v>
      </c>
      <c r="AA11" s="511" t="e">
        <f>VLOOKUP(AA8,Périmètre!$A$13:$G$43,7,FALSE)</f>
        <v>#N/A</v>
      </c>
      <c r="AB11" s="511" t="e">
        <f>VLOOKUP(AB8,Périmètre!$A$13:$G$43,7,FALSE)</f>
        <v>#N/A</v>
      </c>
      <c r="AC11" s="511" t="e">
        <f>VLOOKUP(AC8,Périmètre!$A$13:$G$43,7,FALSE)</f>
        <v>#N/A</v>
      </c>
      <c r="AD11" s="511" t="e">
        <f>VLOOKUP(AD8,Périmètre!$A$13:$G$43,7,FALSE)</f>
        <v>#N/A</v>
      </c>
      <c r="AE11" s="511" t="e">
        <f>VLOOKUP(AE8,Périmètre!$A$13:$G$43,7,FALSE)</f>
        <v>#N/A</v>
      </c>
      <c r="AF11" s="511" t="e">
        <f>VLOOKUP(AF8,Périmètre!$A$13:$G$43,7,FALSE)</f>
        <v>#N/A</v>
      </c>
      <c r="AG11" s="495"/>
    </row>
    <row r="12" spans="1:33" ht="15" customHeight="1" thickBot="1" x14ac:dyDescent="0.3">
      <c r="A12" s="444" t="s">
        <v>483</v>
      </c>
      <c r="B12" s="445"/>
      <c r="C12" s="445"/>
      <c r="D12" s="445"/>
      <c r="E12" s="445"/>
      <c r="F12" s="445"/>
      <c r="G12" s="445"/>
      <c r="H12" s="445"/>
      <c r="I12" s="445"/>
      <c r="J12" s="445"/>
      <c r="K12" s="445"/>
      <c r="L12" s="445"/>
      <c r="M12" s="445"/>
      <c r="N12" s="445"/>
      <c r="O12" s="445"/>
      <c r="P12" s="445"/>
      <c r="Q12" s="445"/>
      <c r="R12" s="445"/>
      <c r="S12" s="445"/>
      <c r="T12" s="445"/>
      <c r="U12" s="445"/>
      <c r="V12" s="445"/>
      <c r="W12" s="445"/>
      <c r="X12" s="445"/>
      <c r="Y12" s="445"/>
      <c r="Z12" s="445"/>
      <c r="AA12" s="445"/>
      <c r="AB12" s="445"/>
      <c r="AC12" s="445"/>
      <c r="AD12" s="445"/>
      <c r="AE12" s="445"/>
      <c r="AF12" s="446"/>
      <c r="AG12" s="441"/>
    </row>
    <row r="13" spans="1:33" ht="15" customHeight="1" x14ac:dyDescent="0.25">
      <c r="A13" s="515" t="s">
        <v>234</v>
      </c>
      <c r="B13" s="451" t="s">
        <v>307</v>
      </c>
      <c r="C13" s="57" t="s">
        <v>104</v>
      </c>
      <c r="D13" s="57" t="s">
        <v>101</v>
      </c>
      <c r="E13" s="57" t="s">
        <v>101</v>
      </c>
      <c r="F13" s="57" t="s">
        <v>101</v>
      </c>
      <c r="G13" s="57" t="s">
        <v>101</v>
      </c>
      <c r="H13" s="57"/>
      <c r="I13" s="57"/>
      <c r="J13" s="57" t="s">
        <v>101</v>
      </c>
      <c r="K13" s="57"/>
      <c r="L13" s="57"/>
      <c r="M13" s="57"/>
      <c r="N13" s="57"/>
      <c r="O13" s="57"/>
      <c r="P13" s="57"/>
      <c r="Q13" s="57"/>
      <c r="R13" s="57"/>
      <c r="S13" s="57"/>
      <c r="T13" s="57"/>
      <c r="U13" s="57"/>
      <c r="V13" s="57"/>
      <c r="W13" s="57"/>
      <c r="X13" s="57"/>
      <c r="Y13" s="57"/>
      <c r="Z13" s="57"/>
      <c r="AA13" s="57"/>
      <c r="AB13" s="57"/>
      <c r="AC13" s="57"/>
      <c r="AD13" s="57"/>
      <c r="AE13" s="57"/>
      <c r="AF13" s="58"/>
      <c r="AG13" s="435"/>
    </row>
    <row r="14" spans="1:33" ht="27" x14ac:dyDescent="0.25">
      <c r="A14" s="516"/>
      <c r="B14" s="449" t="s">
        <v>308</v>
      </c>
      <c r="C14" s="513"/>
      <c r="D14" s="513"/>
      <c r="E14" s="513"/>
      <c r="F14" s="513" t="s">
        <v>101</v>
      </c>
      <c r="G14" s="513"/>
      <c r="H14" s="513"/>
      <c r="I14" s="513"/>
      <c r="J14" s="513"/>
      <c r="K14" s="513"/>
      <c r="L14" s="513"/>
      <c r="M14" s="513"/>
      <c r="N14" s="513"/>
      <c r="O14" s="513"/>
      <c r="P14" s="513"/>
      <c r="Q14" s="513"/>
      <c r="R14" s="513"/>
      <c r="S14" s="513"/>
      <c r="T14" s="513"/>
      <c r="U14" s="513"/>
      <c r="V14" s="513"/>
      <c r="W14" s="513"/>
      <c r="X14" s="513" t="s">
        <v>101</v>
      </c>
      <c r="Y14" s="513" t="s">
        <v>101</v>
      </c>
      <c r="Z14" s="513" t="s">
        <v>101</v>
      </c>
      <c r="AA14" s="513" t="s">
        <v>101</v>
      </c>
      <c r="AB14" s="513" t="s">
        <v>104</v>
      </c>
      <c r="AC14" s="513" t="s">
        <v>104</v>
      </c>
      <c r="AD14" s="513" t="s">
        <v>104</v>
      </c>
      <c r="AE14" s="513" t="s">
        <v>104</v>
      </c>
      <c r="AF14" s="514" t="s">
        <v>104</v>
      </c>
      <c r="AG14" s="435"/>
    </row>
    <row r="15" spans="1:33" ht="15" customHeight="1" x14ac:dyDescent="0.25">
      <c r="A15" s="516"/>
      <c r="B15" s="452" t="s">
        <v>62</v>
      </c>
      <c r="C15" s="512"/>
      <c r="D15" s="512"/>
      <c r="E15" s="512"/>
      <c r="F15" s="512"/>
      <c r="G15" s="512"/>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40"/>
      <c r="AG15" s="435"/>
    </row>
    <row r="16" spans="1:33" ht="15" customHeight="1" thickBot="1" x14ac:dyDescent="0.3">
      <c r="A16" s="517"/>
      <c r="B16" s="526" t="s">
        <v>309</v>
      </c>
      <c r="C16" s="42">
        <v>2</v>
      </c>
      <c r="D16" s="42">
        <v>2</v>
      </c>
      <c r="E16" s="42">
        <v>2</v>
      </c>
      <c r="F16" s="42">
        <v>2</v>
      </c>
      <c r="G16" s="42">
        <v>2</v>
      </c>
      <c r="H16" s="42">
        <v>2</v>
      </c>
      <c r="I16" s="42" t="s">
        <v>224</v>
      </c>
      <c r="J16" s="42" t="s">
        <v>224</v>
      </c>
      <c r="K16" s="42">
        <v>1</v>
      </c>
      <c r="L16" s="42">
        <v>1</v>
      </c>
      <c r="M16" s="42">
        <v>1</v>
      </c>
      <c r="N16" s="42">
        <v>1</v>
      </c>
      <c r="O16" s="42">
        <v>1</v>
      </c>
      <c r="P16" s="42">
        <v>1</v>
      </c>
      <c r="Q16" s="42">
        <v>1</v>
      </c>
      <c r="R16" s="42">
        <v>1</v>
      </c>
      <c r="S16" s="42">
        <v>1</v>
      </c>
      <c r="T16" s="42">
        <v>1</v>
      </c>
      <c r="U16" s="42">
        <v>1</v>
      </c>
      <c r="V16" s="42">
        <v>1</v>
      </c>
      <c r="W16" s="42">
        <v>1</v>
      </c>
      <c r="X16" s="42">
        <v>1</v>
      </c>
      <c r="Y16" s="42">
        <v>1</v>
      </c>
      <c r="Z16" s="42">
        <v>1</v>
      </c>
      <c r="AA16" s="42">
        <v>1</v>
      </c>
      <c r="AB16" s="42">
        <v>1</v>
      </c>
      <c r="AC16" s="42">
        <v>1</v>
      </c>
      <c r="AD16" s="42">
        <v>1</v>
      </c>
      <c r="AE16" s="42">
        <v>1</v>
      </c>
      <c r="AF16" s="43">
        <v>1</v>
      </c>
      <c r="AG16" s="435"/>
    </row>
    <row r="17" spans="1:33" ht="14.25" customHeight="1" x14ac:dyDescent="0.25">
      <c r="A17" s="515" t="s">
        <v>236</v>
      </c>
      <c r="B17" s="524" t="s">
        <v>310</v>
      </c>
      <c r="C17" s="57" t="s">
        <v>229</v>
      </c>
      <c r="D17" s="57" t="s">
        <v>229</v>
      </c>
      <c r="E17" s="57" t="s">
        <v>146</v>
      </c>
      <c r="F17" s="57" t="s">
        <v>231</v>
      </c>
      <c r="G17" s="57" t="s">
        <v>245</v>
      </c>
      <c r="H17" s="57" t="s">
        <v>229</v>
      </c>
      <c r="I17" s="57" t="s">
        <v>231</v>
      </c>
      <c r="J17" s="57" t="s">
        <v>229</v>
      </c>
      <c r="K17" s="57" t="s">
        <v>145</v>
      </c>
      <c r="L17" s="57" t="s">
        <v>245</v>
      </c>
      <c r="M17" s="57"/>
      <c r="N17" s="57"/>
      <c r="O17" s="57"/>
      <c r="P17" s="57"/>
      <c r="Q17" s="57"/>
      <c r="R17" s="57"/>
      <c r="S17" s="57"/>
      <c r="T17" s="57"/>
      <c r="U17" s="57"/>
      <c r="V17" s="57"/>
      <c r="W17" s="57"/>
      <c r="X17" s="57"/>
      <c r="Y17" s="57"/>
      <c r="Z17" s="57"/>
      <c r="AA17" s="57"/>
      <c r="AB17" s="57"/>
      <c r="AC17" s="57"/>
      <c r="AD17" s="57"/>
      <c r="AE17" s="57"/>
      <c r="AF17" s="58"/>
      <c r="AG17" s="435"/>
    </row>
    <row r="18" spans="1:33" ht="15" customHeight="1" x14ac:dyDescent="0.25">
      <c r="A18" s="516"/>
      <c r="B18" s="452" t="s">
        <v>63</v>
      </c>
      <c r="C18" s="512"/>
      <c r="D18" s="512"/>
      <c r="E18" s="512"/>
      <c r="F18" s="512"/>
      <c r="G18" s="512"/>
      <c r="H18" s="512"/>
      <c r="I18" s="512"/>
      <c r="J18" s="512"/>
      <c r="K18" s="512"/>
      <c r="L18" s="512"/>
      <c r="M18" s="512"/>
      <c r="N18" s="512"/>
      <c r="O18" s="512"/>
      <c r="P18" s="512"/>
      <c r="Q18" s="512"/>
      <c r="R18" s="512"/>
      <c r="S18" s="512"/>
      <c r="T18" s="512"/>
      <c r="U18" s="512"/>
      <c r="V18" s="512"/>
      <c r="W18" s="512"/>
      <c r="X18" s="512"/>
      <c r="Y18" s="512"/>
      <c r="Z18" s="512"/>
      <c r="AA18" s="512"/>
      <c r="AB18" s="512"/>
      <c r="AC18" s="512"/>
      <c r="AD18" s="512"/>
      <c r="AE18" s="512"/>
      <c r="AF18" s="40"/>
      <c r="AG18" s="435"/>
    </row>
    <row r="19" spans="1:33" ht="15" customHeight="1" x14ac:dyDescent="0.25">
      <c r="A19" s="516"/>
      <c r="B19" s="447" t="s">
        <v>311</v>
      </c>
      <c r="C19" s="512"/>
      <c r="D19" s="512"/>
      <c r="E19" s="512"/>
      <c r="F19" s="512"/>
      <c r="G19" s="512"/>
      <c r="H19" s="512"/>
      <c r="I19" s="512"/>
      <c r="J19" s="512"/>
      <c r="K19" s="512"/>
      <c r="L19" s="512"/>
      <c r="M19" s="512"/>
      <c r="N19" s="512"/>
      <c r="O19" s="512"/>
      <c r="P19" s="512"/>
      <c r="Q19" s="512"/>
      <c r="R19" s="512"/>
      <c r="S19" s="512"/>
      <c r="T19" s="512"/>
      <c r="U19" s="512"/>
      <c r="V19" s="512"/>
      <c r="W19" s="512"/>
      <c r="X19" s="512"/>
      <c r="Y19" s="512"/>
      <c r="Z19" s="512"/>
      <c r="AA19" s="512"/>
      <c r="AB19" s="512"/>
      <c r="AC19" s="512"/>
      <c r="AD19" s="512"/>
      <c r="AE19" s="512"/>
      <c r="AF19" s="40"/>
      <c r="AG19" s="435"/>
    </row>
    <row r="20" spans="1:33" ht="15.75" customHeight="1" x14ac:dyDescent="0.25">
      <c r="A20" s="516"/>
      <c r="B20" s="449" t="s">
        <v>312</v>
      </c>
      <c r="C20" s="513" t="s">
        <v>157</v>
      </c>
      <c r="D20" s="513" t="s">
        <v>157</v>
      </c>
      <c r="E20" s="513" t="s">
        <v>157</v>
      </c>
      <c r="F20" s="513" t="s">
        <v>157</v>
      </c>
      <c r="G20" s="513" t="s">
        <v>157</v>
      </c>
      <c r="H20" s="513" t="s">
        <v>157</v>
      </c>
      <c r="I20" s="513" t="s">
        <v>157</v>
      </c>
      <c r="J20" s="513" t="s">
        <v>157</v>
      </c>
      <c r="K20" s="513" t="s">
        <v>159</v>
      </c>
      <c r="L20" s="513" t="s">
        <v>160</v>
      </c>
      <c r="M20" s="513" t="s">
        <v>157</v>
      </c>
      <c r="N20" s="513" t="s">
        <v>157</v>
      </c>
      <c r="O20" s="513" t="s">
        <v>157</v>
      </c>
      <c r="P20" s="513" t="s">
        <v>157</v>
      </c>
      <c r="Q20" s="513" t="s">
        <v>157</v>
      </c>
      <c r="R20" s="513" t="s">
        <v>157</v>
      </c>
      <c r="S20" s="513" t="s">
        <v>157</v>
      </c>
      <c r="T20" s="513" t="s">
        <v>157</v>
      </c>
      <c r="U20" s="513" t="s">
        <v>157</v>
      </c>
      <c r="V20" s="513" t="s">
        <v>157</v>
      </c>
      <c r="W20" s="513" t="s">
        <v>157</v>
      </c>
      <c r="X20" s="513" t="s">
        <v>157</v>
      </c>
      <c r="Y20" s="513" t="s">
        <v>157</v>
      </c>
      <c r="Z20" s="513" t="s">
        <v>157</v>
      </c>
      <c r="AA20" s="513" t="s">
        <v>161</v>
      </c>
      <c r="AB20" s="513" t="s">
        <v>158</v>
      </c>
      <c r="AC20" s="513" t="s">
        <v>160</v>
      </c>
      <c r="AD20" s="513" t="s">
        <v>157</v>
      </c>
      <c r="AE20" s="513" t="s">
        <v>157</v>
      </c>
      <c r="AF20" s="514" t="s">
        <v>157</v>
      </c>
      <c r="AG20" s="435"/>
    </row>
    <row r="21" spans="1:33" ht="15.75" customHeight="1" x14ac:dyDescent="0.25">
      <c r="A21" s="516"/>
      <c r="B21" s="453" t="s">
        <v>313</v>
      </c>
      <c r="C21" s="513" t="s">
        <v>164</v>
      </c>
      <c r="D21" s="513" t="s">
        <v>165</v>
      </c>
      <c r="E21" s="513" t="s">
        <v>165</v>
      </c>
      <c r="F21" s="513" t="s">
        <v>165</v>
      </c>
      <c r="G21" s="513" t="s">
        <v>165</v>
      </c>
      <c r="H21" s="513" t="s">
        <v>165</v>
      </c>
      <c r="I21" s="513" t="s">
        <v>165</v>
      </c>
      <c r="J21" s="513" t="s">
        <v>165</v>
      </c>
      <c r="K21" s="513" t="s">
        <v>165</v>
      </c>
      <c r="L21" s="513" t="s">
        <v>165</v>
      </c>
      <c r="M21" s="513" t="s">
        <v>165</v>
      </c>
      <c r="N21" s="513" t="s">
        <v>165</v>
      </c>
      <c r="O21" s="513" t="s">
        <v>165</v>
      </c>
      <c r="P21" s="513" t="s">
        <v>165</v>
      </c>
      <c r="Q21" s="513" t="s">
        <v>165</v>
      </c>
      <c r="R21" s="513" t="s">
        <v>165</v>
      </c>
      <c r="S21" s="513" t="s">
        <v>165</v>
      </c>
      <c r="T21" s="513" t="s">
        <v>165</v>
      </c>
      <c r="U21" s="513" t="s">
        <v>165</v>
      </c>
      <c r="V21" s="513" t="s">
        <v>165</v>
      </c>
      <c r="W21" s="513" t="s">
        <v>165</v>
      </c>
      <c r="X21" s="513" t="s">
        <v>165</v>
      </c>
      <c r="Y21" s="513" t="s">
        <v>165</v>
      </c>
      <c r="Z21" s="513" t="s">
        <v>165</v>
      </c>
      <c r="AA21" s="513" t="s">
        <v>165</v>
      </c>
      <c r="AB21" s="513" t="s">
        <v>165</v>
      </c>
      <c r="AC21" s="513" t="s">
        <v>165</v>
      </c>
      <c r="AD21" s="513" t="s">
        <v>165</v>
      </c>
      <c r="AE21" s="513" t="s">
        <v>165</v>
      </c>
      <c r="AF21" s="514" t="s">
        <v>165</v>
      </c>
      <c r="AG21" s="435"/>
    </row>
    <row r="22" spans="1:33" ht="15" customHeight="1" thickBot="1" x14ac:dyDescent="0.3">
      <c r="A22" s="517"/>
      <c r="B22" s="525" t="s">
        <v>314</v>
      </c>
      <c r="C22" s="522" t="s">
        <v>147</v>
      </c>
      <c r="D22" s="522" t="s">
        <v>147</v>
      </c>
      <c r="E22" s="522" t="s">
        <v>147</v>
      </c>
      <c r="F22" s="522" t="s">
        <v>147</v>
      </c>
      <c r="G22" s="522" t="s">
        <v>147</v>
      </c>
      <c r="H22" s="522" t="s">
        <v>147</v>
      </c>
      <c r="I22" s="522" t="s">
        <v>147</v>
      </c>
      <c r="J22" s="522" t="s">
        <v>147</v>
      </c>
      <c r="K22" s="522" t="s">
        <v>147</v>
      </c>
      <c r="L22" s="522" t="s">
        <v>147</v>
      </c>
      <c r="M22" s="522" t="s">
        <v>147</v>
      </c>
      <c r="N22" s="522" t="s">
        <v>147</v>
      </c>
      <c r="O22" s="522" t="s">
        <v>147</v>
      </c>
      <c r="P22" s="522" t="s">
        <v>147</v>
      </c>
      <c r="Q22" s="522" t="s">
        <v>147</v>
      </c>
      <c r="R22" s="522" t="s">
        <v>147</v>
      </c>
      <c r="S22" s="522" t="s">
        <v>147</v>
      </c>
      <c r="T22" s="522" t="s">
        <v>147</v>
      </c>
      <c r="U22" s="522" t="s">
        <v>147</v>
      </c>
      <c r="V22" s="522" t="s">
        <v>147</v>
      </c>
      <c r="W22" s="522" t="s">
        <v>147</v>
      </c>
      <c r="X22" s="522" t="s">
        <v>147</v>
      </c>
      <c r="Y22" s="522" t="s">
        <v>147</v>
      </c>
      <c r="Z22" s="522" t="s">
        <v>147</v>
      </c>
      <c r="AA22" s="522" t="s">
        <v>147</v>
      </c>
      <c r="AB22" s="522" t="s">
        <v>147</v>
      </c>
      <c r="AC22" s="522" t="s">
        <v>147</v>
      </c>
      <c r="AD22" s="522" t="s">
        <v>147</v>
      </c>
      <c r="AE22" s="522" t="s">
        <v>147</v>
      </c>
      <c r="AF22" s="523" t="s">
        <v>147</v>
      </c>
      <c r="AG22" s="435"/>
    </row>
    <row r="23" spans="1:33" ht="28.5" customHeight="1" x14ac:dyDescent="0.25">
      <c r="A23" s="515" t="s">
        <v>169</v>
      </c>
      <c r="B23" s="518" t="s">
        <v>316</v>
      </c>
      <c r="C23" s="519"/>
      <c r="D23" s="519"/>
      <c r="E23" s="519"/>
      <c r="F23" s="519"/>
      <c r="G23" s="519"/>
      <c r="H23" s="519"/>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20"/>
      <c r="AG23" s="435"/>
    </row>
    <row r="24" spans="1:33" ht="15" customHeight="1" x14ac:dyDescent="0.25">
      <c r="A24" s="516"/>
      <c r="B24" s="456" t="s">
        <v>335</v>
      </c>
      <c r="C24" s="521"/>
      <c r="D24" s="521"/>
      <c r="E24" s="521"/>
      <c r="F24" s="521"/>
      <c r="G24" s="521"/>
      <c r="H24" s="521"/>
      <c r="I24" s="521"/>
      <c r="J24" s="521"/>
      <c r="K24" s="521"/>
      <c r="L24" s="521"/>
      <c r="M24" s="521"/>
      <c r="N24" s="521"/>
      <c r="O24" s="521"/>
      <c r="P24" s="521"/>
      <c r="Q24" s="521"/>
      <c r="R24" s="521"/>
      <c r="S24" s="521"/>
      <c r="T24" s="521"/>
      <c r="U24" s="521"/>
      <c r="V24" s="521"/>
      <c r="W24" s="521"/>
      <c r="X24" s="521"/>
      <c r="Y24" s="521"/>
      <c r="Z24" s="521"/>
      <c r="AA24" s="521"/>
      <c r="AB24" s="521"/>
      <c r="AC24" s="521"/>
      <c r="AD24" s="521"/>
      <c r="AE24" s="521"/>
      <c r="AF24" s="455"/>
      <c r="AG24" s="457"/>
    </row>
    <row r="25" spans="1:33" ht="15" customHeight="1" x14ac:dyDescent="0.25">
      <c r="A25" s="516"/>
      <c r="B25" s="458" t="s">
        <v>269</v>
      </c>
      <c r="C25" s="512" t="s">
        <v>101</v>
      </c>
      <c r="D25" s="512" t="s">
        <v>167</v>
      </c>
      <c r="E25" s="512" t="s">
        <v>228</v>
      </c>
      <c r="F25" s="512" t="s">
        <v>104</v>
      </c>
      <c r="G25" s="512" t="s">
        <v>101</v>
      </c>
      <c r="H25" s="512" t="s">
        <v>167</v>
      </c>
      <c r="I25" s="512" t="s">
        <v>228</v>
      </c>
      <c r="J25" s="512" t="s">
        <v>104</v>
      </c>
      <c r="K25" s="512" t="s">
        <v>101</v>
      </c>
      <c r="L25" s="512" t="s">
        <v>167</v>
      </c>
      <c r="M25" s="512" t="s">
        <v>228</v>
      </c>
      <c r="N25" s="512" t="s">
        <v>104</v>
      </c>
      <c r="O25" s="512" t="s">
        <v>101</v>
      </c>
      <c r="P25" s="512" t="s">
        <v>167</v>
      </c>
      <c r="Q25" s="512" t="s">
        <v>228</v>
      </c>
      <c r="R25" s="512" t="s">
        <v>104</v>
      </c>
      <c r="S25" s="512" t="s">
        <v>101</v>
      </c>
      <c r="T25" s="512" t="s">
        <v>167</v>
      </c>
      <c r="U25" s="512" t="s">
        <v>228</v>
      </c>
      <c r="V25" s="512" t="s">
        <v>104</v>
      </c>
      <c r="W25" s="512" t="s">
        <v>101</v>
      </c>
      <c r="X25" s="512" t="s">
        <v>167</v>
      </c>
      <c r="Y25" s="512" t="s">
        <v>228</v>
      </c>
      <c r="Z25" s="512" t="s">
        <v>104</v>
      </c>
      <c r="AA25" s="512" t="s">
        <v>101</v>
      </c>
      <c r="AB25" s="512" t="s">
        <v>167</v>
      </c>
      <c r="AC25" s="512" t="s">
        <v>228</v>
      </c>
      <c r="AD25" s="512" t="s">
        <v>104</v>
      </c>
      <c r="AE25" s="512" t="s">
        <v>101</v>
      </c>
      <c r="AF25" s="40" t="s">
        <v>167</v>
      </c>
      <c r="AG25" s="457"/>
    </row>
    <row r="26" spans="1:33" ht="15" customHeight="1" x14ac:dyDescent="0.25">
      <c r="A26" s="516"/>
      <c r="B26" s="458" t="s">
        <v>220</v>
      </c>
      <c r="C26" s="512" t="s">
        <v>167</v>
      </c>
      <c r="D26" s="512" t="s">
        <v>228</v>
      </c>
      <c r="E26" s="512" t="s">
        <v>104</v>
      </c>
      <c r="F26" s="512" t="s">
        <v>101</v>
      </c>
      <c r="G26" s="512" t="s">
        <v>167</v>
      </c>
      <c r="H26" s="512" t="s">
        <v>228</v>
      </c>
      <c r="I26" s="512" t="s">
        <v>101</v>
      </c>
      <c r="J26" s="512" t="s">
        <v>167</v>
      </c>
      <c r="K26" s="512" t="s">
        <v>228</v>
      </c>
      <c r="L26" s="512" t="s">
        <v>104</v>
      </c>
      <c r="M26" s="512" t="s">
        <v>101</v>
      </c>
      <c r="N26" s="512" t="s">
        <v>167</v>
      </c>
      <c r="O26" s="512" t="s">
        <v>228</v>
      </c>
      <c r="P26" s="512" t="s">
        <v>104</v>
      </c>
      <c r="Q26" s="512" t="s">
        <v>101</v>
      </c>
      <c r="R26" s="512" t="s">
        <v>167</v>
      </c>
      <c r="S26" s="512" t="s">
        <v>228</v>
      </c>
      <c r="T26" s="512" t="s">
        <v>104</v>
      </c>
      <c r="U26" s="512" t="s">
        <v>101</v>
      </c>
      <c r="V26" s="512" t="s">
        <v>167</v>
      </c>
      <c r="W26" s="512" t="s">
        <v>228</v>
      </c>
      <c r="X26" s="512" t="s">
        <v>104</v>
      </c>
      <c r="Y26" s="512" t="s">
        <v>101</v>
      </c>
      <c r="Z26" s="512" t="s">
        <v>167</v>
      </c>
      <c r="AA26" s="512" t="s">
        <v>228</v>
      </c>
      <c r="AB26" s="512" t="s">
        <v>104</v>
      </c>
      <c r="AC26" s="512" t="s">
        <v>101</v>
      </c>
      <c r="AD26" s="512" t="s">
        <v>167</v>
      </c>
      <c r="AE26" s="512" t="s">
        <v>228</v>
      </c>
      <c r="AF26" s="40" t="s">
        <v>104</v>
      </c>
      <c r="AG26" s="457"/>
    </row>
    <row r="27" spans="1:33" ht="15" customHeight="1" x14ac:dyDescent="0.25">
      <c r="A27" s="516"/>
      <c r="B27" s="458" t="s">
        <v>271</v>
      </c>
      <c r="C27" s="512" t="s">
        <v>228</v>
      </c>
      <c r="D27" s="512" t="s">
        <v>167</v>
      </c>
      <c r="E27" s="512" t="s">
        <v>228</v>
      </c>
      <c r="F27" s="512" t="s">
        <v>104</v>
      </c>
      <c r="G27" s="512" t="s">
        <v>101</v>
      </c>
      <c r="H27" s="512" t="s">
        <v>167</v>
      </c>
      <c r="I27" s="512" t="s">
        <v>228</v>
      </c>
      <c r="J27" s="512" t="s">
        <v>104</v>
      </c>
      <c r="K27" s="512" t="s">
        <v>101</v>
      </c>
      <c r="L27" s="512" t="s">
        <v>167</v>
      </c>
      <c r="M27" s="512" t="s">
        <v>228</v>
      </c>
      <c r="N27" s="512" t="s">
        <v>104</v>
      </c>
      <c r="O27" s="512" t="s">
        <v>101</v>
      </c>
      <c r="P27" s="512" t="s">
        <v>167</v>
      </c>
      <c r="Q27" s="512" t="s">
        <v>228</v>
      </c>
      <c r="R27" s="512" t="s">
        <v>104</v>
      </c>
      <c r="S27" s="512" t="s">
        <v>101</v>
      </c>
      <c r="T27" s="512" t="s">
        <v>167</v>
      </c>
      <c r="U27" s="512" t="s">
        <v>228</v>
      </c>
      <c r="V27" s="512" t="s">
        <v>104</v>
      </c>
      <c r="W27" s="512" t="s">
        <v>101</v>
      </c>
      <c r="X27" s="512" t="s">
        <v>167</v>
      </c>
      <c r="Y27" s="512" t="s">
        <v>228</v>
      </c>
      <c r="Z27" s="512" t="s">
        <v>104</v>
      </c>
      <c r="AA27" s="512" t="s">
        <v>101</v>
      </c>
      <c r="AB27" s="512" t="s">
        <v>167</v>
      </c>
      <c r="AC27" s="512" t="s">
        <v>228</v>
      </c>
      <c r="AD27" s="512" t="s">
        <v>104</v>
      </c>
      <c r="AE27" s="512" t="s">
        <v>101</v>
      </c>
      <c r="AF27" s="40" t="s">
        <v>167</v>
      </c>
      <c r="AG27" s="435"/>
    </row>
    <row r="28" spans="1:33" ht="15" customHeight="1" x14ac:dyDescent="0.25">
      <c r="A28" s="516"/>
      <c r="B28" s="458" t="s">
        <v>282</v>
      </c>
      <c r="C28" s="512" t="s">
        <v>104</v>
      </c>
      <c r="D28" s="512" t="s">
        <v>167</v>
      </c>
      <c r="E28" s="512" t="s">
        <v>228</v>
      </c>
      <c r="F28" s="512" t="s">
        <v>104</v>
      </c>
      <c r="G28" s="512" t="s">
        <v>101</v>
      </c>
      <c r="H28" s="512" t="s">
        <v>167</v>
      </c>
      <c r="I28" s="512" t="s">
        <v>228</v>
      </c>
      <c r="J28" s="512" t="s">
        <v>104</v>
      </c>
      <c r="K28" s="512" t="s">
        <v>101</v>
      </c>
      <c r="L28" s="512" t="s">
        <v>167</v>
      </c>
      <c r="M28" s="512" t="s">
        <v>228</v>
      </c>
      <c r="N28" s="512" t="s">
        <v>104</v>
      </c>
      <c r="O28" s="512" t="s">
        <v>101</v>
      </c>
      <c r="P28" s="512" t="s">
        <v>167</v>
      </c>
      <c r="Q28" s="512" t="s">
        <v>228</v>
      </c>
      <c r="R28" s="512" t="s">
        <v>104</v>
      </c>
      <c r="S28" s="512" t="s">
        <v>101</v>
      </c>
      <c r="T28" s="512" t="s">
        <v>167</v>
      </c>
      <c r="U28" s="512" t="s">
        <v>228</v>
      </c>
      <c r="V28" s="512" t="s">
        <v>104</v>
      </c>
      <c r="W28" s="512" t="s">
        <v>101</v>
      </c>
      <c r="X28" s="512" t="s">
        <v>167</v>
      </c>
      <c r="Y28" s="512" t="s">
        <v>228</v>
      </c>
      <c r="Z28" s="512" t="s">
        <v>104</v>
      </c>
      <c r="AA28" s="512" t="s">
        <v>101</v>
      </c>
      <c r="AB28" s="512" t="s">
        <v>167</v>
      </c>
      <c r="AC28" s="512" t="s">
        <v>228</v>
      </c>
      <c r="AD28" s="512" t="s">
        <v>104</v>
      </c>
      <c r="AE28" s="512" t="s">
        <v>101</v>
      </c>
      <c r="AF28" s="40" t="s">
        <v>167</v>
      </c>
      <c r="AG28" s="435"/>
    </row>
    <row r="29" spans="1:33" ht="15" customHeight="1" x14ac:dyDescent="0.25">
      <c r="A29" s="516"/>
      <c r="B29" s="458" t="s">
        <v>273</v>
      </c>
      <c r="C29" s="512" t="s">
        <v>101</v>
      </c>
      <c r="D29" s="512" t="s">
        <v>167</v>
      </c>
      <c r="E29" s="512" t="s">
        <v>228</v>
      </c>
      <c r="F29" s="512" t="s">
        <v>104</v>
      </c>
      <c r="G29" s="512" t="s">
        <v>101</v>
      </c>
      <c r="H29" s="512" t="s">
        <v>167</v>
      </c>
      <c r="I29" s="512" t="s">
        <v>228</v>
      </c>
      <c r="J29" s="512" t="s">
        <v>104</v>
      </c>
      <c r="K29" s="512" t="s">
        <v>101</v>
      </c>
      <c r="L29" s="512" t="s">
        <v>167</v>
      </c>
      <c r="M29" s="512" t="s">
        <v>228</v>
      </c>
      <c r="N29" s="512" t="s">
        <v>104</v>
      </c>
      <c r="O29" s="512" t="s">
        <v>101</v>
      </c>
      <c r="P29" s="512" t="s">
        <v>167</v>
      </c>
      <c r="Q29" s="512" t="s">
        <v>228</v>
      </c>
      <c r="R29" s="512" t="s">
        <v>104</v>
      </c>
      <c r="S29" s="512" t="s">
        <v>101</v>
      </c>
      <c r="T29" s="512" t="s">
        <v>167</v>
      </c>
      <c r="U29" s="512" t="s">
        <v>228</v>
      </c>
      <c r="V29" s="512" t="s">
        <v>104</v>
      </c>
      <c r="W29" s="512" t="s">
        <v>101</v>
      </c>
      <c r="X29" s="512" t="s">
        <v>167</v>
      </c>
      <c r="Y29" s="512" t="s">
        <v>228</v>
      </c>
      <c r="Z29" s="512" t="s">
        <v>104</v>
      </c>
      <c r="AA29" s="512" t="s">
        <v>101</v>
      </c>
      <c r="AB29" s="512" t="s">
        <v>167</v>
      </c>
      <c r="AC29" s="512" t="s">
        <v>228</v>
      </c>
      <c r="AD29" s="512" t="s">
        <v>104</v>
      </c>
      <c r="AE29" s="512" t="s">
        <v>101</v>
      </c>
      <c r="AF29" s="40" t="s">
        <v>167</v>
      </c>
      <c r="AG29" s="435"/>
    </row>
    <row r="30" spans="1:33" ht="15" customHeight="1" x14ac:dyDescent="0.25">
      <c r="A30" s="516"/>
      <c r="B30" s="456" t="s">
        <v>274</v>
      </c>
      <c r="C30" s="521"/>
      <c r="D30" s="521"/>
      <c r="E30" s="521"/>
      <c r="F30" s="521"/>
      <c r="G30" s="521"/>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455"/>
      <c r="AG30" s="435"/>
    </row>
    <row r="31" spans="1:33" ht="15" customHeight="1" x14ac:dyDescent="0.25">
      <c r="A31" s="516"/>
      <c r="B31" s="458" t="s">
        <v>275</v>
      </c>
      <c r="C31" s="512" t="s">
        <v>101</v>
      </c>
      <c r="D31" s="512" t="s">
        <v>167</v>
      </c>
      <c r="E31" s="512" t="s">
        <v>228</v>
      </c>
      <c r="F31" s="512" t="s">
        <v>104</v>
      </c>
      <c r="G31" s="512" t="s">
        <v>101</v>
      </c>
      <c r="H31" s="512" t="s">
        <v>167</v>
      </c>
      <c r="I31" s="512" t="s">
        <v>228</v>
      </c>
      <c r="J31" s="512" t="s">
        <v>104</v>
      </c>
      <c r="K31" s="512" t="s">
        <v>101</v>
      </c>
      <c r="L31" s="512" t="s">
        <v>167</v>
      </c>
      <c r="M31" s="512" t="s">
        <v>228</v>
      </c>
      <c r="N31" s="512" t="s">
        <v>104</v>
      </c>
      <c r="O31" s="512" t="s">
        <v>101</v>
      </c>
      <c r="P31" s="512" t="s">
        <v>167</v>
      </c>
      <c r="Q31" s="512" t="s">
        <v>228</v>
      </c>
      <c r="R31" s="512" t="s">
        <v>104</v>
      </c>
      <c r="S31" s="512" t="s">
        <v>101</v>
      </c>
      <c r="T31" s="512" t="s">
        <v>167</v>
      </c>
      <c r="U31" s="512" t="s">
        <v>228</v>
      </c>
      <c r="V31" s="512" t="s">
        <v>104</v>
      </c>
      <c r="W31" s="512" t="s">
        <v>101</v>
      </c>
      <c r="X31" s="512" t="s">
        <v>167</v>
      </c>
      <c r="Y31" s="512" t="s">
        <v>228</v>
      </c>
      <c r="Z31" s="512" t="s">
        <v>104</v>
      </c>
      <c r="AA31" s="512" t="s">
        <v>101</v>
      </c>
      <c r="AB31" s="512" t="s">
        <v>167</v>
      </c>
      <c r="AC31" s="512" t="s">
        <v>228</v>
      </c>
      <c r="AD31" s="512" t="s">
        <v>104</v>
      </c>
      <c r="AE31" s="512" t="s">
        <v>101</v>
      </c>
      <c r="AF31" s="40" t="s">
        <v>167</v>
      </c>
      <c r="AG31" s="435"/>
    </row>
    <row r="32" spans="1:33" ht="15" customHeight="1" x14ac:dyDescent="0.25">
      <c r="A32" s="516"/>
      <c r="B32" s="458" t="s">
        <v>277</v>
      </c>
      <c r="C32" s="512" t="s">
        <v>101</v>
      </c>
      <c r="D32" s="512" t="s">
        <v>167</v>
      </c>
      <c r="E32" s="512" t="s">
        <v>228</v>
      </c>
      <c r="F32" s="512" t="s">
        <v>104</v>
      </c>
      <c r="G32" s="512" t="s">
        <v>101</v>
      </c>
      <c r="H32" s="512" t="s">
        <v>167</v>
      </c>
      <c r="I32" s="512" t="s">
        <v>228</v>
      </c>
      <c r="J32" s="512" t="s">
        <v>104</v>
      </c>
      <c r="K32" s="512" t="s">
        <v>101</v>
      </c>
      <c r="L32" s="512" t="s">
        <v>167</v>
      </c>
      <c r="M32" s="512" t="s">
        <v>228</v>
      </c>
      <c r="N32" s="512" t="s">
        <v>104</v>
      </c>
      <c r="O32" s="512" t="s">
        <v>101</v>
      </c>
      <c r="P32" s="512" t="s">
        <v>167</v>
      </c>
      <c r="Q32" s="512" t="s">
        <v>228</v>
      </c>
      <c r="R32" s="512" t="s">
        <v>104</v>
      </c>
      <c r="S32" s="512" t="s">
        <v>101</v>
      </c>
      <c r="T32" s="512" t="s">
        <v>167</v>
      </c>
      <c r="U32" s="512" t="s">
        <v>228</v>
      </c>
      <c r="V32" s="512" t="s">
        <v>104</v>
      </c>
      <c r="W32" s="512" t="s">
        <v>101</v>
      </c>
      <c r="X32" s="512" t="s">
        <v>167</v>
      </c>
      <c r="Y32" s="512" t="s">
        <v>228</v>
      </c>
      <c r="Z32" s="512" t="s">
        <v>104</v>
      </c>
      <c r="AA32" s="512" t="s">
        <v>101</v>
      </c>
      <c r="AB32" s="512" t="s">
        <v>167</v>
      </c>
      <c r="AC32" s="512" t="s">
        <v>228</v>
      </c>
      <c r="AD32" s="512" t="s">
        <v>104</v>
      </c>
      <c r="AE32" s="512" t="s">
        <v>101</v>
      </c>
      <c r="AF32" s="40" t="s">
        <v>167</v>
      </c>
      <c r="AG32" s="435"/>
    </row>
    <row r="33" spans="1:33" ht="15.75" customHeight="1" x14ac:dyDescent="0.25">
      <c r="A33" s="516"/>
      <c r="B33" s="458" t="s">
        <v>276</v>
      </c>
      <c r="C33" s="512" t="s">
        <v>101</v>
      </c>
      <c r="D33" s="512" t="s">
        <v>167</v>
      </c>
      <c r="E33" s="512" t="s">
        <v>228</v>
      </c>
      <c r="F33" s="512" t="s">
        <v>104</v>
      </c>
      <c r="G33" s="512" t="s">
        <v>101</v>
      </c>
      <c r="H33" s="512" t="s">
        <v>167</v>
      </c>
      <c r="I33" s="512" t="s">
        <v>228</v>
      </c>
      <c r="J33" s="512" t="s">
        <v>104</v>
      </c>
      <c r="K33" s="512" t="s">
        <v>101</v>
      </c>
      <c r="L33" s="512" t="s">
        <v>167</v>
      </c>
      <c r="M33" s="512" t="s">
        <v>228</v>
      </c>
      <c r="N33" s="512" t="s">
        <v>104</v>
      </c>
      <c r="O33" s="512" t="s">
        <v>101</v>
      </c>
      <c r="P33" s="512" t="s">
        <v>167</v>
      </c>
      <c r="Q33" s="512" t="s">
        <v>228</v>
      </c>
      <c r="R33" s="512" t="s">
        <v>104</v>
      </c>
      <c r="S33" s="512" t="s">
        <v>101</v>
      </c>
      <c r="T33" s="512" t="s">
        <v>167</v>
      </c>
      <c r="U33" s="512" t="s">
        <v>228</v>
      </c>
      <c r="V33" s="512" t="s">
        <v>104</v>
      </c>
      <c r="W33" s="512" t="s">
        <v>101</v>
      </c>
      <c r="X33" s="512" t="s">
        <v>167</v>
      </c>
      <c r="Y33" s="512" t="s">
        <v>228</v>
      </c>
      <c r="Z33" s="512" t="s">
        <v>104</v>
      </c>
      <c r="AA33" s="512" t="s">
        <v>101</v>
      </c>
      <c r="AB33" s="512" t="s">
        <v>167</v>
      </c>
      <c r="AC33" s="512" t="s">
        <v>228</v>
      </c>
      <c r="AD33" s="512" t="s">
        <v>104</v>
      </c>
      <c r="AE33" s="512" t="s">
        <v>101</v>
      </c>
      <c r="AF33" s="40" t="s">
        <v>167</v>
      </c>
      <c r="AG33" s="435"/>
    </row>
    <row r="34" spans="1:33" ht="15" customHeight="1" x14ac:dyDescent="0.25">
      <c r="A34" s="516"/>
      <c r="B34" s="458" t="s">
        <v>278</v>
      </c>
      <c r="C34" s="512" t="s">
        <v>101</v>
      </c>
      <c r="D34" s="512" t="s">
        <v>167</v>
      </c>
      <c r="E34" s="512" t="s">
        <v>228</v>
      </c>
      <c r="F34" s="512" t="s">
        <v>104</v>
      </c>
      <c r="G34" s="512" t="s">
        <v>101</v>
      </c>
      <c r="H34" s="512" t="s">
        <v>167</v>
      </c>
      <c r="I34" s="512" t="s">
        <v>228</v>
      </c>
      <c r="J34" s="512" t="s">
        <v>104</v>
      </c>
      <c r="K34" s="512" t="s">
        <v>101</v>
      </c>
      <c r="L34" s="512" t="s">
        <v>167</v>
      </c>
      <c r="M34" s="512" t="s">
        <v>228</v>
      </c>
      <c r="N34" s="512" t="s">
        <v>104</v>
      </c>
      <c r="O34" s="512" t="s">
        <v>101</v>
      </c>
      <c r="P34" s="512" t="s">
        <v>167</v>
      </c>
      <c r="Q34" s="512" t="s">
        <v>228</v>
      </c>
      <c r="R34" s="512" t="s">
        <v>104</v>
      </c>
      <c r="S34" s="512" t="s">
        <v>101</v>
      </c>
      <c r="T34" s="512" t="s">
        <v>167</v>
      </c>
      <c r="U34" s="512" t="s">
        <v>228</v>
      </c>
      <c r="V34" s="512" t="s">
        <v>104</v>
      </c>
      <c r="W34" s="512" t="s">
        <v>101</v>
      </c>
      <c r="X34" s="512" t="s">
        <v>167</v>
      </c>
      <c r="Y34" s="512" t="s">
        <v>228</v>
      </c>
      <c r="Z34" s="512" t="s">
        <v>104</v>
      </c>
      <c r="AA34" s="512" t="s">
        <v>101</v>
      </c>
      <c r="AB34" s="512" t="s">
        <v>167</v>
      </c>
      <c r="AC34" s="512" t="s">
        <v>228</v>
      </c>
      <c r="AD34" s="512" t="s">
        <v>104</v>
      </c>
      <c r="AE34" s="512" t="s">
        <v>101</v>
      </c>
      <c r="AF34" s="40" t="s">
        <v>167</v>
      </c>
      <c r="AG34" s="435"/>
    </row>
    <row r="35" spans="1:33" ht="15" customHeight="1" x14ac:dyDescent="0.25">
      <c r="A35" s="516"/>
      <c r="B35" s="458" t="s">
        <v>279</v>
      </c>
      <c r="C35" s="512" t="s">
        <v>101</v>
      </c>
      <c r="D35" s="512" t="s">
        <v>167</v>
      </c>
      <c r="E35" s="512" t="s">
        <v>228</v>
      </c>
      <c r="F35" s="512" t="s">
        <v>104</v>
      </c>
      <c r="G35" s="512" t="s">
        <v>101</v>
      </c>
      <c r="H35" s="512" t="s">
        <v>167</v>
      </c>
      <c r="I35" s="512" t="s">
        <v>228</v>
      </c>
      <c r="J35" s="512" t="s">
        <v>104</v>
      </c>
      <c r="K35" s="512" t="s">
        <v>101</v>
      </c>
      <c r="L35" s="512" t="s">
        <v>167</v>
      </c>
      <c r="M35" s="512" t="s">
        <v>228</v>
      </c>
      <c r="N35" s="512" t="s">
        <v>104</v>
      </c>
      <c r="O35" s="512" t="s">
        <v>101</v>
      </c>
      <c r="P35" s="512" t="s">
        <v>167</v>
      </c>
      <c r="Q35" s="512" t="s">
        <v>228</v>
      </c>
      <c r="R35" s="512" t="s">
        <v>104</v>
      </c>
      <c r="S35" s="512" t="s">
        <v>101</v>
      </c>
      <c r="T35" s="512" t="s">
        <v>167</v>
      </c>
      <c r="U35" s="512" t="s">
        <v>228</v>
      </c>
      <c r="V35" s="512" t="s">
        <v>104</v>
      </c>
      <c r="W35" s="512" t="s">
        <v>101</v>
      </c>
      <c r="X35" s="512" t="s">
        <v>167</v>
      </c>
      <c r="Y35" s="512" t="s">
        <v>228</v>
      </c>
      <c r="Z35" s="512" t="s">
        <v>104</v>
      </c>
      <c r="AA35" s="512" t="s">
        <v>101</v>
      </c>
      <c r="AB35" s="512" t="s">
        <v>167</v>
      </c>
      <c r="AC35" s="512" t="s">
        <v>228</v>
      </c>
      <c r="AD35" s="512" t="s">
        <v>104</v>
      </c>
      <c r="AE35" s="512" t="s">
        <v>101</v>
      </c>
      <c r="AF35" s="40" t="s">
        <v>167</v>
      </c>
      <c r="AG35" s="435"/>
    </row>
    <row r="36" spans="1:33" ht="15" customHeight="1" x14ac:dyDescent="0.25">
      <c r="A36" s="516"/>
      <c r="B36" s="458" t="s">
        <v>280</v>
      </c>
      <c r="C36" s="512" t="s">
        <v>101</v>
      </c>
      <c r="D36" s="512" t="s">
        <v>167</v>
      </c>
      <c r="E36" s="512" t="s">
        <v>228</v>
      </c>
      <c r="F36" s="512" t="s">
        <v>104</v>
      </c>
      <c r="G36" s="512" t="s">
        <v>101</v>
      </c>
      <c r="H36" s="512" t="s">
        <v>167</v>
      </c>
      <c r="I36" s="512" t="s">
        <v>228</v>
      </c>
      <c r="J36" s="512" t="s">
        <v>104</v>
      </c>
      <c r="K36" s="512" t="s">
        <v>101</v>
      </c>
      <c r="L36" s="512" t="s">
        <v>167</v>
      </c>
      <c r="M36" s="512" t="s">
        <v>228</v>
      </c>
      <c r="N36" s="512" t="s">
        <v>104</v>
      </c>
      <c r="O36" s="512" t="s">
        <v>101</v>
      </c>
      <c r="P36" s="512" t="s">
        <v>167</v>
      </c>
      <c r="Q36" s="512" t="s">
        <v>228</v>
      </c>
      <c r="R36" s="512" t="s">
        <v>104</v>
      </c>
      <c r="S36" s="512" t="s">
        <v>101</v>
      </c>
      <c r="T36" s="512" t="s">
        <v>167</v>
      </c>
      <c r="U36" s="512" t="s">
        <v>228</v>
      </c>
      <c r="V36" s="512" t="s">
        <v>104</v>
      </c>
      <c r="W36" s="512" t="s">
        <v>101</v>
      </c>
      <c r="X36" s="512" t="s">
        <v>167</v>
      </c>
      <c r="Y36" s="512" t="s">
        <v>228</v>
      </c>
      <c r="Z36" s="512" t="s">
        <v>104</v>
      </c>
      <c r="AA36" s="512" t="s">
        <v>101</v>
      </c>
      <c r="AB36" s="512" t="s">
        <v>167</v>
      </c>
      <c r="AC36" s="512" t="s">
        <v>228</v>
      </c>
      <c r="AD36" s="512" t="s">
        <v>104</v>
      </c>
      <c r="AE36" s="512" t="s">
        <v>101</v>
      </c>
      <c r="AF36" s="40" t="s">
        <v>167</v>
      </c>
      <c r="AG36" s="435"/>
    </row>
    <row r="37" spans="1:33" s="460" customFormat="1" ht="27" x14ac:dyDescent="0.25">
      <c r="A37" s="516"/>
      <c r="B37" s="449" t="s">
        <v>336</v>
      </c>
      <c r="C37" s="521"/>
      <c r="D37" s="521"/>
      <c r="E37" s="521"/>
      <c r="F37" s="521"/>
      <c r="G37" s="521"/>
      <c r="H37" s="521"/>
      <c r="I37" s="521"/>
      <c r="J37" s="521"/>
      <c r="K37" s="521"/>
      <c r="L37" s="521"/>
      <c r="M37" s="521"/>
      <c r="N37" s="521"/>
      <c r="O37" s="521"/>
      <c r="P37" s="521"/>
      <c r="Q37" s="521"/>
      <c r="R37" s="521"/>
      <c r="S37" s="521"/>
      <c r="T37" s="521"/>
      <c r="U37" s="521"/>
      <c r="V37" s="521"/>
      <c r="W37" s="521"/>
      <c r="X37" s="521"/>
      <c r="Y37" s="521"/>
      <c r="Z37" s="521"/>
      <c r="AA37" s="521"/>
      <c r="AB37" s="521"/>
      <c r="AC37" s="521"/>
      <c r="AD37" s="521"/>
      <c r="AE37" s="521"/>
      <c r="AF37" s="455"/>
      <c r="AG37" s="459"/>
    </row>
    <row r="38" spans="1:33" s="460" customFormat="1" ht="15" customHeight="1" x14ac:dyDescent="0.25">
      <c r="A38" s="516"/>
      <c r="B38" s="461" t="s">
        <v>253</v>
      </c>
      <c r="C38" s="512" t="s">
        <v>104</v>
      </c>
      <c r="D38" s="512" t="s">
        <v>104</v>
      </c>
      <c r="E38" s="512" t="s">
        <v>101</v>
      </c>
      <c r="F38" s="512" t="s">
        <v>104</v>
      </c>
      <c r="G38" s="512" t="s">
        <v>101</v>
      </c>
      <c r="H38" s="512" t="s">
        <v>104</v>
      </c>
      <c r="I38" s="512" t="s">
        <v>101</v>
      </c>
      <c r="J38" s="512" t="s">
        <v>104</v>
      </c>
      <c r="K38" s="512" t="s">
        <v>101</v>
      </c>
      <c r="L38" s="512" t="s">
        <v>104</v>
      </c>
      <c r="M38" s="512" t="s">
        <v>101</v>
      </c>
      <c r="N38" s="512" t="s">
        <v>104</v>
      </c>
      <c r="O38" s="512" t="s">
        <v>101</v>
      </c>
      <c r="P38" s="512" t="s">
        <v>104</v>
      </c>
      <c r="Q38" s="512" t="s">
        <v>101</v>
      </c>
      <c r="R38" s="512" t="s">
        <v>104</v>
      </c>
      <c r="S38" s="512" t="s">
        <v>101</v>
      </c>
      <c r="T38" s="512" t="s">
        <v>104</v>
      </c>
      <c r="U38" s="512" t="s">
        <v>101</v>
      </c>
      <c r="V38" s="512" t="s">
        <v>104</v>
      </c>
      <c r="W38" s="512" t="s">
        <v>101</v>
      </c>
      <c r="X38" s="512" t="s">
        <v>104</v>
      </c>
      <c r="Y38" s="512" t="s">
        <v>101</v>
      </c>
      <c r="Z38" s="512" t="s">
        <v>104</v>
      </c>
      <c r="AA38" s="512" t="s">
        <v>101</v>
      </c>
      <c r="AB38" s="512" t="s">
        <v>104</v>
      </c>
      <c r="AC38" s="512" t="s">
        <v>101</v>
      </c>
      <c r="AD38" s="512" t="s">
        <v>104</v>
      </c>
      <c r="AE38" s="512" t="s">
        <v>101</v>
      </c>
      <c r="AF38" s="40" t="s">
        <v>104</v>
      </c>
      <c r="AG38" s="459"/>
    </row>
    <row r="39" spans="1:33" s="460" customFormat="1" ht="15" customHeight="1" x14ac:dyDescent="0.25">
      <c r="A39" s="516"/>
      <c r="B39" s="462" t="s">
        <v>264</v>
      </c>
      <c r="C39" s="513" t="s">
        <v>101</v>
      </c>
      <c r="D39" s="513" t="s">
        <v>104</v>
      </c>
      <c r="E39" s="513" t="s">
        <v>101</v>
      </c>
      <c r="F39" s="513" t="s">
        <v>104</v>
      </c>
      <c r="G39" s="513" t="s">
        <v>101</v>
      </c>
      <c r="H39" s="513" t="s">
        <v>104</v>
      </c>
      <c r="I39" s="513" t="s">
        <v>101</v>
      </c>
      <c r="J39" s="513" t="s">
        <v>104</v>
      </c>
      <c r="K39" s="513" t="s">
        <v>101</v>
      </c>
      <c r="L39" s="513" t="s">
        <v>104</v>
      </c>
      <c r="M39" s="513" t="s">
        <v>101</v>
      </c>
      <c r="N39" s="513" t="s">
        <v>104</v>
      </c>
      <c r="O39" s="513" t="s">
        <v>101</v>
      </c>
      <c r="P39" s="513" t="s">
        <v>104</v>
      </c>
      <c r="Q39" s="513" t="s">
        <v>101</v>
      </c>
      <c r="R39" s="513" t="s">
        <v>104</v>
      </c>
      <c r="S39" s="513" t="s">
        <v>101</v>
      </c>
      <c r="T39" s="513" t="s">
        <v>104</v>
      </c>
      <c r="U39" s="513" t="s">
        <v>101</v>
      </c>
      <c r="V39" s="513" t="s">
        <v>104</v>
      </c>
      <c r="W39" s="513" t="s">
        <v>101</v>
      </c>
      <c r="X39" s="513" t="s">
        <v>104</v>
      </c>
      <c r="Y39" s="513" t="s">
        <v>101</v>
      </c>
      <c r="Z39" s="513" t="s">
        <v>104</v>
      </c>
      <c r="AA39" s="513" t="s">
        <v>101</v>
      </c>
      <c r="AB39" s="513" t="s">
        <v>104</v>
      </c>
      <c r="AC39" s="513" t="s">
        <v>101</v>
      </c>
      <c r="AD39" s="513" t="s">
        <v>104</v>
      </c>
      <c r="AE39" s="513" t="s">
        <v>101</v>
      </c>
      <c r="AF39" s="514" t="s">
        <v>104</v>
      </c>
      <c r="AG39" s="459"/>
    </row>
    <row r="40" spans="1:33" s="460" customFormat="1" ht="15" customHeight="1" x14ac:dyDescent="0.25">
      <c r="A40" s="516"/>
      <c r="B40" s="462" t="s">
        <v>265</v>
      </c>
      <c r="C40" s="512" t="s">
        <v>101</v>
      </c>
      <c r="D40" s="512" t="s">
        <v>104</v>
      </c>
      <c r="E40" s="512" t="s">
        <v>101</v>
      </c>
      <c r="F40" s="512" t="s">
        <v>104</v>
      </c>
      <c r="G40" s="512" t="s">
        <v>101</v>
      </c>
      <c r="H40" s="512" t="s">
        <v>104</v>
      </c>
      <c r="I40" s="512" t="s">
        <v>101</v>
      </c>
      <c r="J40" s="512" t="s">
        <v>104</v>
      </c>
      <c r="K40" s="512" t="s">
        <v>101</v>
      </c>
      <c r="L40" s="512" t="s">
        <v>104</v>
      </c>
      <c r="M40" s="512" t="s">
        <v>101</v>
      </c>
      <c r="N40" s="512" t="s">
        <v>104</v>
      </c>
      <c r="O40" s="512" t="s">
        <v>101</v>
      </c>
      <c r="P40" s="512" t="s">
        <v>104</v>
      </c>
      <c r="Q40" s="512" t="s">
        <v>101</v>
      </c>
      <c r="R40" s="512" t="s">
        <v>104</v>
      </c>
      <c r="S40" s="512" t="s">
        <v>101</v>
      </c>
      <c r="T40" s="512" t="s">
        <v>104</v>
      </c>
      <c r="U40" s="512" t="s">
        <v>101</v>
      </c>
      <c r="V40" s="512" t="s">
        <v>104</v>
      </c>
      <c r="W40" s="512" t="s">
        <v>101</v>
      </c>
      <c r="X40" s="512" t="s">
        <v>104</v>
      </c>
      <c r="Y40" s="512" t="s">
        <v>101</v>
      </c>
      <c r="Z40" s="512" t="s">
        <v>104</v>
      </c>
      <c r="AA40" s="512" t="s">
        <v>101</v>
      </c>
      <c r="AB40" s="512" t="s">
        <v>104</v>
      </c>
      <c r="AC40" s="512" t="s">
        <v>101</v>
      </c>
      <c r="AD40" s="512" t="s">
        <v>104</v>
      </c>
      <c r="AE40" s="512" t="s">
        <v>101</v>
      </c>
      <c r="AF40" s="40" t="s">
        <v>104</v>
      </c>
      <c r="AG40" s="459"/>
    </row>
    <row r="41" spans="1:33" s="460" customFormat="1" ht="15" customHeight="1" x14ac:dyDescent="0.25">
      <c r="A41" s="516"/>
      <c r="B41" s="462" t="s">
        <v>266</v>
      </c>
      <c r="C41" s="513" t="s">
        <v>101</v>
      </c>
      <c r="D41" s="513" t="s">
        <v>104</v>
      </c>
      <c r="E41" s="513" t="s">
        <v>101</v>
      </c>
      <c r="F41" s="513" t="s">
        <v>104</v>
      </c>
      <c r="G41" s="513" t="s">
        <v>101</v>
      </c>
      <c r="H41" s="513" t="s">
        <v>104</v>
      </c>
      <c r="I41" s="513" t="s">
        <v>101</v>
      </c>
      <c r="J41" s="513" t="s">
        <v>104</v>
      </c>
      <c r="K41" s="513" t="s">
        <v>101</v>
      </c>
      <c r="L41" s="513" t="s">
        <v>104</v>
      </c>
      <c r="M41" s="513" t="s">
        <v>101</v>
      </c>
      <c r="N41" s="513" t="s">
        <v>104</v>
      </c>
      <c r="O41" s="513" t="s">
        <v>101</v>
      </c>
      <c r="P41" s="513" t="s">
        <v>104</v>
      </c>
      <c r="Q41" s="513" t="s">
        <v>101</v>
      </c>
      <c r="R41" s="513" t="s">
        <v>104</v>
      </c>
      <c r="S41" s="513" t="s">
        <v>101</v>
      </c>
      <c r="T41" s="513" t="s">
        <v>104</v>
      </c>
      <c r="U41" s="513" t="s">
        <v>101</v>
      </c>
      <c r="V41" s="513" t="s">
        <v>104</v>
      </c>
      <c r="W41" s="513" t="s">
        <v>101</v>
      </c>
      <c r="X41" s="513" t="s">
        <v>104</v>
      </c>
      <c r="Y41" s="513" t="s">
        <v>101</v>
      </c>
      <c r="Z41" s="513" t="s">
        <v>104</v>
      </c>
      <c r="AA41" s="513" t="s">
        <v>101</v>
      </c>
      <c r="AB41" s="513" t="s">
        <v>104</v>
      </c>
      <c r="AC41" s="513" t="s">
        <v>101</v>
      </c>
      <c r="AD41" s="513" t="s">
        <v>104</v>
      </c>
      <c r="AE41" s="513" t="s">
        <v>101</v>
      </c>
      <c r="AF41" s="514" t="s">
        <v>104</v>
      </c>
      <c r="AG41" s="459"/>
    </row>
    <row r="42" spans="1:33" s="460" customFormat="1" ht="15" customHeight="1" x14ac:dyDescent="0.25">
      <c r="A42" s="516"/>
      <c r="B42" s="461" t="s">
        <v>254</v>
      </c>
      <c r="C42" s="512" t="s">
        <v>101</v>
      </c>
      <c r="D42" s="512" t="s">
        <v>104</v>
      </c>
      <c r="E42" s="512" t="s">
        <v>101</v>
      </c>
      <c r="F42" s="512" t="s">
        <v>104</v>
      </c>
      <c r="G42" s="512" t="s">
        <v>101</v>
      </c>
      <c r="H42" s="512" t="s">
        <v>104</v>
      </c>
      <c r="I42" s="512" t="s">
        <v>101</v>
      </c>
      <c r="J42" s="512" t="s">
        <v>104</v>
      </c>
      <c r="K42" s="512" t="s">
        <v>101</v>
      </c>
      <c r="L42" s="512" t="s">
        <v>104</v>
      </c>
      <c r="M42" s="512" t="s">
        <v>101</v>
      </c>
      <c r="N42" s="512" t="s">
        <v>104</v>
      </c>
      <c r="O42" s="512" t="s">
        <v>101</v>
      </c>
      <c r="P42" s="512" t="s">
        <v>104</v>
      </c>
      <c r="Q42" s="512" t="s">
        <v>101</v>
      </c>
      <c r="R42" s="512" t="s">
        <v>104</v>
      </c>
      <c r="S42" s="512" t="s">
        <v>101</v>
      </c>
      <c r="T42" s="512" t="s">
        <v>104</v>
      </c>
      <c r="U42" s="512" t="s">
        <v>101</v>
      </c>
      <c r="V42" s="512" t="s">
        <v>104</v>
      </c>
      <c r="W42" s="512" t="s">
        <v>101</v>
      </c>
      <c r="X42" s="512" t="s">
        <v>104</v>
      </c>
      <c r="Y42" s="512" t="s">
        <v>101</v>
      </c>
      <c r="Z42" s="512" t="s">
        <v>104</v>
      </c>
      <c r="AA42" s="512" t="s">
        <v>101</v>
      </c>
      <c r="AB42" s="512" t="s">
        <v>104</v>
      </c>
      <c r="AC42" s="512" t="s">
        <v>101</v>
      </c>
      <c r="AD42" s="512" t="s">
        <v>104</v>
      </c>
      <c r="AE42" s="512" t="s">
        <v>101</v>
      </c>
      <c r="AF42" s="40" t="s">
        <v>104</v>
      </c>
      <c r="AG42" s="459"/>
    </row>
    <row r="43" spans="1:33" s="460" customFormat="1" ht="15" customHeight="1" x14ac:dyDescent="0.25">
      <c r="A43" s="516"/>
      <c r="B43" s="462" t="s">
        <v>255</v>
      </c>
      <c r="C43" s="513" t="s">
        <v>101</v>
      </c>
      <c r="D43" s="513" t="s">
        <v>104</v>
      </c>
      <c r="E43" s="513" t="s">
        <v>101</v>
      </c>
      <c r="F43" s="513" t="s">
        <v>104</v>
      </c>
      <c r="G43" s="513" t="s">
        <v>101</v>
      </c>
      <c r="H43" s="513" t="s">
        <v>104</v>
      </c>
      <c r="I43" s="513" t="s">
        <v>101</v>
      </c>
      <c r="J43" s="513" t="s">
        <v>104</v>
      </c>
      <c r="K43" s="513" t="s">
        <v>101</v>
      </c>
      <c r="L43" s="513" t="s">
        <v>104</v>
      </c>
      <c r="M43" s="513" t="s">
        <v>101</v>
      </c>
      <c r="N43" s="513" t="s">
        <v>104</v>
      </c>
      <c r="O43" s="513" t="s">
        <v>101</v>
      </c>
      <c r="P43" s="513" t="s">
        <v>104</v>
      </c>
      <c r="Q43" s="513" t="s">
        <v>101</v>
      </c>
      <c r="R43" s="513" t="s">
        <v>104</v>
      </c>
      <c r="S43" s="513" t="s">
        <v>101</v>
      </c>
      <c r="T43" s="513" t="s">
        <v>104</v>
      </c>
      <c r="U43" s="513" t="s">
        <v>101</v>
      </c>
      <c r="V43" s="513" t="s">
        <v>104</v>
      </c>
      <c r="W43" s="513" t="s">
        <v>101</v>
      </c>
      <c r="X43" s="513" t="s">
        <v>104</v>
      </c>
      <c r="Y43" s="513" t="s">
        <v>101</v>
      </c>
      <c r="Z43" s="513" t="s">
        <v>104</v>
      </c>
      <c r="AA43" s="513" t="s">
        <v>101</v>
      </c>
      <c r="AB43" s="513" t="s">
        <v>104</v>
      </c>
      <c r="AC43" s="513" t="s">
        <v>101</v>
      </c>
      <c r="AD43" s="513" t="s">
        <v>104</v>
      </c>
      <c r="AE43" s="513" t="s">
        <v>101</v>
      </c>
      <c r="AF43" s="514" t="s">
        <v>104</v>
      </c>
      <c r="AG43" s="459"/>
    </row>
    <row r="44" spans="1:33" s="460" customFormat="1" ht="15" customHeight="1" x14ac:dyDescent="0.25">
      <c r="A44" s="516"/>
      <c r="B44" s="463" t="s">
        <v>252</v>
      </c>
      <c r="C44" s="512"/>
      <c r="D44" s="512"/>
      <c r="E44" s="512"/>
      <c r="F44" s="512"/>
      <c r="G44" s="512"/>
      <c r="H44" s="512"/>
      <c r="I44" s="512"/>
      <c r="J44" s="512"/>
      <c r="K44" s="512"/>
      <c r="L44" s="512"/>
      <c r="M44" s="512"/>
      <c r="N44" s="512"/>
      <c r="O44" s="512"/>
      <c r="P44" s="512"/>
      <c r="Q44" s="512"/>
      <c r="R44" s="512"/>
      <c r="S44" s="512"/>
      <c r="T44" s="512"/>
      <c r="U44" s="512"/>
      <c r="V44" s="512"/>
      <c r="W44" s="512"/>
      <c r="X44" s="512"/>
      <c r="Y44" s="512"/>
      <c r="Z44" s="512"/>
      <c r="AA44" s="512"/>
      <c r="AB44" s="512"/>
      <c r="AC44" s="512"/>
      <c r="AD44" s="512"/>
      <c r="AE44" s="512"/>
      <c r="AF44" s="40"/>
      <c r="AG44" s="459"/>
    </row>
    <row r="45" spans="1:33" s="460" customFormat="1" ht="15" customHeight="1" x14ac:dyDescent="0.25">
      <c r="A45" s="516"/>
      <c r="B45" s="462" t="s">
        <v>267</v>
      </c>
      <c r="C45" s="513" t="s">
        <v>101</v>
      </c>
      <c r="D45" s="513" t="s">
        <v>104</v>
      </c>
      <c r="E45" s="513" t="s">
        <v>101</v>
      </c>
      <c r="F45" s="513" t="s">
        <v>104</v>
      </c>
      <c r="G45" s="513" t="s">
        <v>101</v>
      </c>
      <c r="H45" s="513" t="s">
        <v>104</v>
      </c>
      <c r="I45" s="513" t="s">
        <v>101</v>
      </c>
      <c r="J45" s="513" t="s">
        <v>104</v>
      </c>
      <c r="K45" s="513" t="s">
        <v>101</v>
      </c>
      <c r="L45" s="513" t="s">
        <v>104</v>
      </c>
      <c r="M45" s="513" t="s">
        <v>101</v>
      </c>
      <c r="N45" s="513" t="s">
        <v>104</v>
      </c>
      <c r="O45" s="513" t="s">
        <v>101</v>
      </c>
      <c r="P45" s="513" t="s">
        <v>104</v>
      </c>
      <c r="Q45" s="513" t="s">
        <v>101</v>
      </c>
      <c r="R45" s="513" t="s">
        <v>104</v>
      </c>
      <c r="S45" s="513" t="s">
        <v>101</v>
      </c>
      <c r="T45" s="513" t="s">
        <v>104</v>
      </c>
      <c r="U45" s="513" t="s">
        <v>101</v>
      </c>
      <c r="V45" s="513" t="s">
        <v>104</v>
      </c>
      <c r="W45" s="513" t="s">
        <v>101</v>
      </c>
      <c r="X45" s="513" t="s">
        <v>104</v>
      </c>
      <c r="Y45" s="513" t="s">
        <v>101</v>
      </c>
      <c r="Z45" s="513" t="s">
        <v>104</v>
      </c>
      <c r="AA45" s="513" t="s">
        <v>101</v>
      </c>
      <c r="AB45" s="513" t="s">
        <v>104</v>
      </c>
      <c r="AC45" s="513" t="s">
        <v>101</v>
      </c>
      <c r="AD45" s="513" t="s">
        <v>104</v>
      </c>
      <c r="AE45" s="513" t="s">
        <v>101</v>
      </c>
      <c r="AF45" s="514" t="s">
        <v>104</v>
      </c>
      <c r="AG45" s="459"/>
    </row>
    <row r="46" spans="1:33" ht="31.5" customHeight="1" x14ac:dyDescent="0.25">
      <c r="A46" s="516"/>
      <c r="B46" s="454" t="s">
        <v>337</v>
      </c>
      <c r="C46" s="512" t="s">
        <v>101</v>
      </c>
      <c r="D46" s="512" t="s">
        <v>101</v>
      </c>
      <c r="E46" s="512" t="s">
        <v>101</v>
      </c>
      <c r="F46" s="512" t="s">
        <v>101</v>
      </c>
      <c r="G46" s="512" t="s">
        <v>101</v>
      </c>
      <c r="H46" s="512" t="s">
        <v>101</v>
      </c>
      <c r="I46" s="512" t="s">
        <v>101</v>
      </c>
      <c r="J46" s="512" t="s">
        <v>104</v>
      </c>
      <c r="K46" s="512" t="s">
        <v>104</v>
      </c>
      <c r="L46" s="512" t="s">
        <v>104</v>
      </c>
      <c r="M46" s="512" t="s">
        <v>104</v>
      </c>
      <c r="N46" s="512" t="s">
        <v>104</v>
      </c>
      <c r="O46" s="512" t="s">
        <v>147</v>
      </c>
      <c r="P46" s="512" t="s">
        <v>147</v>
      </c>
      <c r="Q46" s="512" t="s">
        <v>147</v>
      </c>
      <c r="R46" s="512" t="s">
        <v>147</v>
      </c>
      <c r="S46" s="512" t="s">
        <v>147</v>
      </c>
      <c r="T46" s="512" t="s">
        <v>147</v>
      </c>
      <c r="U46" s="512" t="s">
        <v>147</v>
      </c>
      <c r="V46" s="512" t="s">
        <v>147</v>
      </c>
      <c r="W46" s="512" t="s">
        <v>147</v>
      </c>
      <c r="X46" s="512" t="s">
        <v>147</v>
      </c>
      <c r="Y46" s="512" t="s">
        <v>147</v>
      </c>
      <c r="Z46" s="512" t="s">
        <v>147</v>
      </c>
      <c r="AA46" s="512" t="s">
        <v>147</v>
      </c>
      <c r="AB46" s="512" t="s">
        <v>147</v>
      </c>
      <c r="AC46" s="512" t="s">
        <v>147</v>
      </c>
      <c r="AD46" s="512" t="s">
        <v>147</v>
      </c>
      <c r="AE46" s="512" t="s">
        <v>147</v>
      </c>
      <c r="AF46" s="40" t="s">
        <v>147</v>
      </c>
      <c r="AG46" s="435"/>
    </row>
    <row r="47" spans="1:33" ht="29.25" customHeight="1" thickBot="1" x14ac:dyDescent="0.3">
      <c r="A47" s="517"/>
      <c r="B47" s="527" t="s">
        <v>338</v>
      </c>
      <c r="C47" s="42" t="s">
        <v>147</v>
      </c>
      <c r="D47" s="42" t="s">
        <v>147</v>
      </c>
      <c r="E47" s="42" t="s">
        <v>147</v>
      </c>
      <c r="F47" s="42" t="s">
        <v>147</v>
      </c>
      <c r="G47" s="42" t="s">
        <v>147</v>
      </c>
      <c r="H47" s="42" t="s">
        <v>147</v>
      </c>
      <c r="I47" s="42" t="s">
        <v>147</v>
      </c>
      <c r="J47" s="42" t="s">
        <v>147</v>
      </c>
      <c r="K47" s="42" t="s">
        <v>147</v>
      </c>
      <c r="L47" s="42" t="s">
        <v>147</v>
      </c>
      <c r="M47" s="42" t="s">
        <v>147</v>
      </c>
      <c r="N47" s="42" t="s">
        <v>147</v>
      </c>
      <c r="O47" s="42" t="s">
        <v>147</v>
      </c>
      <c r="P47" s="42" t="s">
        <v>147</v>
      </c>
      <c r="Q47" s="42" t="s">
        <v>147</v>
      </c>
      <c r="R47" s="42" t="s">
        <v>147</v>
      </c>
      <c r="S47" s="42" t="s">
        <v>147</v>
      </c>
      <c r="T47" s="42" t="s">
        <v>147</v>
      </c>
      <c r="U47" s="42" t="s">
        <v>147</v>
      </c>
      <c r="V47" s="42" t="s">
        <v>147</v>
      </c>
      <c r="W47" s="42" t="s">
        <v>147</v>
      </c>
      <c r="X47" s="42" t="s">
        <v>147</v>
      </c>
      <c r="Y47" s="42" t="s">
        <v>147</v>
      </c>
      <c r="Z47" s="42" t="s">
        <v>147</v>
      </c>
      <c r="AA47" s="42" t="s">
        <v>147</v>
      </c>
      <c r="AB47" s="42" t="s">
        <v>147</v>
      </c>
      <c r="AC47" s="42" t="s">
        <v>147</v>
      </c>
      <c r="AD47" s="42" t="s">
        <v>147</v>
      </c>
      <c r="AE47" s="42" t="s">
        <v>147</v>
      </c>
      <c r="AF47" s="43" t="s">
        <v>147</v>
      </c>
      <c r="AG47" s="435"/>
    </row>
    <row r="48" spans="1:33" ht="15" customHeight="1" x14ac:dyDescent="0.25">
      <c r="A48" s="448" t="s">
        <v>168</v>
      </c>
      <c r="B48" s="518" t="s">
        <v>339</v>
      </c>
      <c r="C48" s="57" t="s">
        <v>101</v>
      </c>
      <c r="D48" s="57" t="s">
        <v>104</v>
      </c>
      <c r="E48" s="57" t="s">
        <v>104</v>
      </c>
      <c r="F48" s="57" t="s">
        <v>331</v>
      </c>
      <c r="G48" s="57" t="s">
        <v>101</v>
      </c>
      <c r="H48" s="57" t="s">
        <v>104</v>
      </c>
      <c r="I48" s="57" t="s">
        <v>104</v>
      </c>
      <c r="J48" s="57" t="s">
        <v>331</v>
      </c>
      <c r="K48" s="57" t="s">
        <v>101</v>
      </c>
      <c r="L48" s="57" t="s">
        <v>104</v>
      </c>
      <c r="M48" s="57" t="s">
        <v>104</v>
      </c>
      <c r="N48" s="57" t="s">
        <v>331</v>
      </c>
      <c r="O48" s="57" t="s">
        <v>101</v>
      </c>
      <c r="P48" s="57" t="s">
        <v>104</v>
      </c>
      <c r="Q48" s="57" t="s">
        <v>104</v>
      </c>
      <c r="R48" s="57" t="s">
        <v>331</v>
      </c>
      <c r="S48" s="57" t="s">
        <v>101</v>
      </c>
      <c r="T48" s="57" t="s">
        <v>104</v>
      </c>
      <c r="U48" s="57" t="s">
        <v>104</v>
      </c>
      <c r="V48" s="57" t="s">
        <v>331</v>
      </c>
      <c r="W48" s="57" t="s">
        <v>101</v>
      </c>
      <c r="X48" s="57" t="s">
        <v>104</v>
      </c>
      <c r="Y48" s="57" t="s">
        <v>104</v>
      </c>
      <c r="Z48" s="57" t="s">
        <v>331</v>
      </c>
      <c r="AA48" s="57" t="s">
        <v>101</v>
      </c>
      <c r="AB48" s="57" t="s">
        <v>104</v>
      </c>
      <c r="AC48" s="57" t="s">
        <v>104</v>
      </c>
      <c r="AD48" s="57" t="s">
        <v>331</v>
      </c>
      <c r="AE48" s="57" t="s">
        <v>101</v>
      </c>
      <c r="AF48" s="58" t="s">
        <v>104</v>
      </c>
      <c r="AG48" s="435"/>
    </row>
    <row r="49" spans="1:33" ht="15" customHeight="1" x14ac:dyDescent="0.25">
      <c r="A49" s="448"/>
      <c r="B49" s="464" t="s">
        <v>340</v>
      </c>
      <c r="C49" s="521"/>
      <c r="D49" s="521"/>
      <c r="E49" s="521"/>
      <c r="F49" s="521"/>
      <c r="G49" s="521"/>
      <c r="H49" s="521"/>
      <c r="I49" s="521"/>
      <c r="J49" s="521"/>
      <c r="K49" s="521"/>
      <c r="L49" s="521"/>
      <c r="M49" s="521"/>
      <c r="N49" s="521"/>
      <c r="O49" s="521"/>
      <c r="P49" s="521"/>
      <c r="Q49" s="521"/>
      <c r="R49" s="521"/>
      <c r="S49" s="521"/>
      <c r="T49" s="521"/>
      <c r="U49" s="521"/>
      <c r="V49" s="521"/>
      <c r="W49" s="521"/>
      <c r="X49" s="521"/>
      <c r="Y49" s="521"/>
      <c r="Z49" s="521"/>
      <c r="AA49" s="521"/>
      <c r="AB49" s="521"/>
      <c r="AC49" s="521"/>
      <c r="AD49" s="521"/>
      <c r="AE49" s="521"/>
      <c r="AF49" s="455"/>
      <c r="AG49" s="435"/>
    </row>
    <row r="50" spans="1:33" ht="15.75" customHeight="1" x14ac:dyDescent="0.25">
      <c r="A50" s="448"/>
      <c r="B50" s="465" t="s">
        <v>341</v>
      </c>
      <c r="C50" s="512"/>
      <c r="D50" s="512"/>
      <c r="E50" s="512"/>
      <c r="F50" s="512"/>
      <c r="G50" s="512"/>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40"/>
      <c r="AG50" s="435"/>
    </row>
    <row r="51" spans="1:33" ht="15.75" customHeight="1" x14ac:dyDescent="0.25">
      <c r="A51" s="448"/>
      <c r="B51" s="465" t="s">
        <v>232</v>
      </c>
      <c r="C51" s="513"/>
      <c r="D51" s="513"/>
      <c r="E51" s="513"/>
      <c r="F51" s="513"/>
      <c r="G51" s="513"/>
      <c r="H51" s="513"/>
      <c r="I51" s="513"/>
      <c r="J51" s="513"/>
      <c r="K51" s="513"/>
      <c r="L51" s="513"/>
      <c r="M51" s="513"/>
      <c r="N51" s="513"/>
      <c r="O51" s="513"/>
      <c r="P51" s="513"/>
      <c r="Q51" s="513"/>
      <c r="R51" s="513"/>
      <c r="S51" s="513"/>
      <c r="T51" s="513"/>
      <c r="U51" s="513"/>
      <c r="V51" s="513"/>
      <c r="W51" s="513"/>
      <c r="X51" s="513"/>
      <c r="Y51" s="513"/>
      <c r="Z51" s="513"/>
      <c r="AA51" s="513"/>
      <c r="AB51" s="513"/>
      <c r="AC51" s="513"/>
      <c r="AD51" s="513"/>
      <c r="AE51" s="513"/>
      <c r="AF51" s="514"/>
      <c r="AG51" s="435"/>
    </row>
    <row r="52" spans="1:33" ht="15.75" customHeight="1" x14ac:dyDescent="0.25">
      <c r="A52" s="448"/>
      <c r="B52" s="465" t="s">
        <v>221</v>
      </c>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40"/>
      <c r="AG52" s="435"/>
    </row>
    <row r="53" spans="1:33" ht="15.75" customHeight="1" x14ac:dyDescent="0.25">
      <c r="A53" s="448"/>
      <c r="B53" s="465" t="s">
        <v>233</v>
      </c>
      <c r="C53" s="513"/>
      <c r="D53" s="513"/>
      <c r="E53" s="513"/>
      <c r="F53" s="513"/>
      <c r="G53" s="513"/>
      <c r="H53" s="513"/>
      <c r="I53" s="513"/>
      <c r="J53" s="513"/>
      <c r="K53" s="513"/>
      <c r="L53" s="513"/>
      <c r="M53" s="513"/>
      <c r="N53" s="513"/>
      <c r="O53" s="513"/>
      <c r="P53" s="513"/>
      <c r="Q53" s="513"/>
      <c r="R53" s="513"/>
      <c r="S53" s="513"/>
      <c r="T53" s="513"/>
      <c r="U53" s="513"/>
      <c r="V53" s="513"/>
      <c r="W53" s="513"/>
      <c r="X53" s="513"/>
      <c r="Y53" s="513"/>
      <c r="Z53" s="513"/>
      <c r="AA53" s="513"/>
      <c r="AB53" s="513"/>
      <c r="AC53" s="513"/>
      <c r="AD53" s="513"/>
      <c r="AE53" s="513"/>
      <c r="AF53" s="514"/>
      <c r="AG53" s="435"/>
    </row>
    <row r="54" spans="1:33" ht="15.75" customHeight="1" x14ac:dyDescent="0.25">
      <c r="A54" s="448"/>
      <c r="B54" s="465" t="s">
        <v>222</v>
      </c>
      <c r="C54" s="512"/>
      <c r="D54" s="512"/>
      <c r="E54" s="512"/>
      <c r="F54" s="512"/>
      <c r="G54" s="512"/>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40"/>
      <c r="AG54" s="435"/>
    </row>
    <row r="55" spans="1:33" ht="15.75" customHeight="1" x14ac:dyDescent="0.25">
      <c r="A55" s="448"/>
      <c r="B55" s="465" t="s">
        <v>223</v>
      </c>
      <c r="C55" s="513" t="s">
        <v>101</v>
      </c>
      <c r="D55" s="513" t="s">
        <v>101</v>
      </c>
      <c r="E55" s="513" t="s">
        <v>101</v>
      </c>
      <c r="F55" s="513" t="s">
        <v>101</v>
      </c>
      <c r="G55" s="513" t="s">
        <v>101</v>
      </c>
      <c r="H55" s="513" t="s">
        <v>101</v>
      </c>
      <c r="I55" s="513" t="s">
        <v>101</v>
      </c>
      <c r="J55" s="513" t="s">
        <v>101</v>
      </c>
      <c r="K55" s="513" t="s">
        <v>101</v>
      </c>
      <c r="L55" s="513" t="s">
        <v>101</v>
      </c>
      <c r="M55" s="513" t="s">
        <v>101</v>
      </c>
      <c r="N55" s="513" t="s">
        <v>101</v>
      </c>
      <c r="O55" s="513" t="s">
        <v>101</v>
      </c>
      <c r="P55" s="513" t="s">
        <v>101</v>
      </c>
      <c r="Q55" s="513" t="s">
        <v>101</v>
      </c>
      <c r="R55" s="513" t="s">
        <v>101</v>
      </c>
      <c r="S55" s="513" t="s">
        <v>101</v>
      </c>
      <c r="T55" s="513" t="s">
        <v>101</v>
      </c>
      <c r="U55" s="513" t="s">
        <v>101</v>
      </c>
      <c r="V55" s="513" t="s">
        <v>101</v>
      </c>
      <c r="W55" s="513" t="s">
        <v>101</v>
      </c>
      <c r="X55" s="513" t="s">
        <v>101</v>
      </c>
      <c r="Y55" s="513" t="s">
        <v>101</v>
      </c>
      <c r="Z55" s="513" t="s">
        <v>101</v>
      </c>
      <c r="AA55" s="513" t="s">
        <v>101</v>
      </c>
      <c r="AB55" s="513" t="s">
        <v>101</v>
      </c>
      <c r="AC55" s="513" t="s">
        <v>101</v>
      </c>
      <c r="AD55" s="513" t="s">
        <v>101</v>
      </c>
      <c r="AE55" s="513" t="s">
        <v>101</v>
      </c>
      <c r="AF55" s="514" t="s">
        <v>101</v>
      </c>
      <c r="AG55" s="435"/>
    </row>
    <row r="56" spans="1:33" ht="15" customHeight="1" x14ac:dyDescent="0.25">
      <c r="A56" s="448"/>
      <c r="B56" s="453" t="s">
        <v>349</v>
      </c>
      <c r="C56" s="521"/>
      <c r="D56" s="521"/>
      <c r="E56" s="521"/>
      <c r="F56" s="521"/>
      <c r="G56" s="521"/>
      <c r="H56" s="521"/>
      <c r="I56" s="521"/>
      <c r="J56" s="521"/>
      <c r="K56" s="521"/>
      <c r="L56" s="521"/>
      <c r="M56" s="521"/>
      <c r="N56" s="521"/>
      <c r="O56" s="521"/>
      <c r="P56" s="521"/>
      <c r="Q56" s="521"/>
      <c r="R56" s="521"/>
      <c r="S56" s="521"/>
      <c r="T56" s="521"/>
      <c r="U56" s="521"/>
      <c r="V56" s="521"/>
      <c r="W56" s="521"/>
      <c r="X56" s="521"/>
      <c r="Y56" s="521"/>
      <c r="Z56" s="521"/>
      <c r="AA56" s="521"/>
      <c r="AB56" s="521"/>
      <c r="AC56" s="521"/>
      <c r="AD56" s="521"/>
      <c r="AE56" s="521"/>
      <c r="AF56" s="455"/>
      <c r="AG56" s="435"/>
    </row>
    <row r="57" spans="1:33" ht="15" customHeight="1" x14ac:dyDescent="0.25">
      <c r="A57" s="448"/>
      <c r="B57" s="466" t="s">
        <v>358</v>
      </c>
      <c r="C57" s="512"/>
      <c r="D57" s="512"/>
      <c r="E57" s="512"/>
      <c r="F57" s="512"/>
      <c r="G57" s="512"/>
      <c r="H57" s="512"/>
      <c r="I57" s="512"/>
      <c r="J57" s="512"/>
      <c r="K57" s="512"/>
      <c r="L57" s="512"/>
      <c r="M57" s="512"/>
      <c r="N57" s="512"/>
      <c r="O57" s="512"/>
      <c r="P57" s="512"/>
      <c r="Q57" s="512"/>
      <c r="R57" s="512"/>
      <c r="S57" s="512"/>
      <c r="T57" s="512"/>
      <c r="U57" s="512"/>
      <c r="V57" s="512"/>
      <c r="W57" s="512"/>
      <c r="X57" s="512"/>
      <c r="Y57" s="512"/>
      <c r="Z57" s="512"/>
      <c r="AA57" s="512"/>
      <c r="AB57" s="512"/>
      <c r="AC57" s="512"/>
      <c r="AD57" s="512"/>
      <c r="AE57" s="512"/>
      <c r="AF57" s="40"/>
      <c r="AG57" s="435"/>
    </row>
    <row r="58" spans="1:33" ht="15" customHeight="1" x14ac:dyDescent="0.25">
      <c r="A58" s="448"/>
      <c r="B58" s="466" t="s">
        <v>353</v>
      </c>
      <c r="C58" s="513"/>
      <c r="D58" s="513"/>
      <c r="E58" s="513"/>
      <c r="F58" s="513"/>
      <c r="G58" s="513"/>
      <c r="H58" s="513"/>
      <c r="I58" s="513"/>
      <c r="J58" s="513"/>
      <c r="K58" s="513"/>
      <c r="L58" s="513"/>
      <c r="M58" s="513"/>
      <c r="N58" s="513"/>
      <c r="O58" s="513"/>
      <c r="P58" s="513"/>
      <c r="Q58" s="513"/>
      <c r="R58" s="513"/>
      <c r="S58" s="513"/>
      <c r="T58" s="513"/>
      <c r="U58" s="513"/>
      <c r="V58" s="513"/>
      <c r="W58" s="513"/>
      <c r="X58" s="513"/>
      <c r="Y58" s="513"/>
      <c r="Z58" s="513"/>
      <c r="AA58" s="513"/>
      <c r="AB58" s="513"/>
      <c r="AC58" s="513"/>
      <c r="AD58" s="513"/>
      <c r="AE58" s="513"/>
      <c r="AF58" s="514"/>
      <c r="AG58" s="435"/>
    </row>
    <row r="59" spans="1:33" ht="15" customHeight="1" x14ac:dyDescent="0.25">
      <c r="A59" s="448"/>
      <c r="B59" s="466" t="s">
        <v>354</v>
      </c>
      <c r="C59" s="512"/>
      <c r="D59" s="512"/>
      <c r="E59" s="512"/>
      <c r="F59" s="512"/>
      <c r="G59" s="512"/>
      <c r="H59" s="512"/>
      <c r="I59" s="512"/>
      <c r="J59" s="512"/>
      <c r="K59" s="512"/>
      <c r="L59" s="512"/>
      <c r="M59" s="512"/>
      <c r="N59" s="512"/>
      <c r="O59" s="512"/>
      <c r="P59" s="512"/>
      <c r="Q59" s="512"/>
      <c r="R59" s="512"/>
      <c r="S59" s="512"/>
      <c r="T59" s="512"/>
      <c r="U59" s="512"/>
      <c r="V59" s="512"/>
      <c r="W59" s="512"/>
      <c r="X59" s="512"/>
      <c r="Y59" s="512"/>
      <c r="Z59" s="512"/>
      <c r="AA59" s="512"/>
      <c r="AB59" s="512"/>
      <c r="AC59" s="512"/>
      <c r="AD59" s="512"/>
      <c r="AE59" s="512"/>
      <c r="AF59" s="40"/>
      <c r="AG59" s="435"/>
    </row>
    <row r="60" spans="1:33" ht="15" customHeight="1" x14ac:dyDescent="0.25">
      <c r="A60" s="448"/>
      <c r="B60" s="466" t="s">
        <v>355</v>
      </c>
      <c r="C60" s="513"/>
      <c r="D60" s="513"/>
      <c r="E60" s="513"/>
      <c r="F60" s="513"/>
      <c r="G60" s="513"/>
      <c r="H60" s="513"/>
      <c r="I60" s="513"/>
      <c r="J60" s="513"/>
      <c r="K60" s="513"/>
      <c r="L60" s="513"/>
      <c r="M60" s="513"/>
      <c r="N60" s="513"/>
      <c r="O60" s="513"/>
      <c r="P60" s="513"/>
      <c r="Q60" s="513"/>
      <c r="R60" s="513"/>
      <c r="S60" s="513"/>
      <c r="T60" s="513"/>
      <c r="U60" s="513"/>
      <c r="V60" s="513"/>
      <c r="W60" s="513"/>
      <c r="X60" s="513"/>
      <c r="Y60" s="513"/>
      <c r="Z60" s="513"/>
      <c r="AA60" s="513"/>
      <c r="AB60" s="513"/>
      <c r="AC60" s="513"/>
      <c r="AD60" s="513"/>
      <c r="AE60" s="513"/>
      <c r="AF60" s="514"/>
      <c r="AG60" s="435"/>
    </row>
    <row r="61" spans="1:33" ht="15" customHeight="1" x14ac:dyDescent="0.25">
      <c r="A61" s="448"/>
      <c r="B61" s="466" t="s">
        <v>356</v>
      </c>
      <c r="C61" s="512"/>
      <c r="D61" s="512"/>
      <c r="E61" s="512"/>
      <c r="F61" s="512"/>
      <c r="G61" s="512"/>
      <c r="H61" s="512"/>
      <c r="I61" s="512"/>
      <c r="J61" s="512"/>
      <c r="K61" s="512"/>
      <c r="L61" s="512"/>
      <c r="M61" s="512"/>
      <c r="N61" s="512"/>
      <c r="O61" s="512"/>
      <c r="P61" s="512"/>
      <c r="Q61" s="512"/>
      <c r="R61" s="512"/>
      <c r="S61" s="512"/>
      <c r="T61" s="512"/>
      <c r="U61" s="512"/>
      <c r="V61" s="512"/>
      <c r="W61" s="512"/>
      <c r="X61" s="512"/>
      <c r="Y61" s="512"/>
      <c r="Z61" s="512"/>
      <c r="AA61" s="512"/>
      <c r="AB61" s="512"/>
      <c r="AC61" s="512"/>
      <c r="AD61" s="512"/>
      <c r="AE61" s="512"/>
      <c r="AF61" s="40"/>
      <c r="AG61" s="435"/>
    </row>
    <row r="62" spans="1:33" ht="15" customHeight="1" x14ac:dyDescent="0.25">
      <c r="A62" s="448"/>
      <c r="B62" s="466" t="s">
        <v>352</v>
      </c>
      <c r="C62" s="513"/>
      <c r="D62" s="513"/>
      <c r="E62" s="513"/>
      <c r="F62" s="513"/>
      <c r="G62" s="513"/>
      <c r="H62" s="513"/>
      <c r="I62" s="513"/>
      <c r="J62" s="513"/>
      <c r="K62" s="513"/>
      <c r="L62" s="513"/>
      <c r="M62" s="513"/>
      <c r="N62" s="513"/>
      <c r="O62" s="513"/>
      <c r="P62" s="513"/>
      <c r="Q62" s="513"/>
      <c r="R62" s="513"/>
      <c r="S62" s="513"/>
      <c r="T62" s="513"/>
      <c r="U62" s="513"/>
      <c r="V62" s="513"/>
      <c r="W62" s="513"/>
      <c r="X62" s="513"/>
      <c r="Y62" s="513"/>
      <c r="Z62" s="513"/>
      <c r="AA62" s="513"/>
      <c r="AB62" s="513"/>
      <c r="AC62" s="513"/>
      <c r="AD62" s="513"/>
      <c r="AE62" s="513"/>
      <c r="AF62" s="514"/>
      <c r="AG62" s="435"/>
    </row>
    <row r="63" spans="1:33" ht="15.75" customHeight="1" thickBot="1" x14ac:dyDescent="0.3">
      <c r="A63" s="467"/>
      <c r="B63" s="528" t="s">
        <v>351</v>
      </c>
      <c r="C63" s="522" t="s">
        <v>101</v>
      </c>
      <c r="D63" s="522" t="s">
        <v>101</v>
      </c>
      <c r="E63" s="522" t="s">
        <v>101</v>
      </c>
      <c r="F63" s="522" t="s">
        <v>101</v>
      </c>
      <c r="G63" s="522" t="s">
        <v>101</v>
      </c>
      <c r="H63" s="522" t="s">
        <v>101</v>
      </c>
      <c r="I63" s="522" t="s">
        <v>101</v>
      </c>
      <c r="J63" s="522" t="s">
        <v>101</v>
      </c>
      <c r="K63" s="522" t="s">
        <v>101</v>
      </c>
      <c r="L63" s="522" t="s">
        <v>101</v>
      </c>
      <c r="M63" s="522" t="s">
        <v>101</v>
      </c>
      <c r="N63" s="522" t="s">
        <v>101</v>
      </c>
      <c r="O63" s="522" t="s">
        <v>101</v>
      </c>
      <c r="P63" s="522" t="s">
        <v>101</v>
      </c>
      <c r="Q63" s="522" t="s">
        <v>101</v>
      </c>
      <c r="R63" s="522" t="s">
        <v>101</v>
      </c>
      <c r="S63" s="522" t="s">
        <v>101</v>
      </c>
      <c r="T63" s="522" t="s">
        <v>101</v>
      </c>
      <c r="U63" s="522" t="s">
        <v>101</v>
      </c>
      <c r="V63" s="522" t="s">
        <v>101</v>
      </c>
      <c r="W63" s="522" t="s">
        <v>101</v>
      </c>
      <c r="X63" s="522" t="s">
        <v>101</v>
      </c>
      <c r="Y63" s="522" t="s">
        <v>101</v>
      </c>
      <c r="Z63" s="522" t="s">
        <v>101</v>
      </c>
      <c r="AA63" s="522" t="s">
        <v>101</v>
      </c>
      <c r="AB63" s="522" t="s">
        <v>101</v>
      </c>
      <c r="AC63" s="522" t="s">
        <v>101</v>
      </c>
      <c r="AD63" s="522" t="s">
        <v>101</v>
      </c>
      <c r="AE63" s="522" t="s">
        <v>101</v>
      </c>
      <c r="AF63" s="523" t="s">
        <v>101</v>
      </c>
      <c r="AG63" s="435"/>
    </row>
    <row r="64" spans="1:33" x14ac:dyDescent="0.25">
      <c r="A64" s="468" t="s">
        <v>64</v>
      </c>
      <c r="B64" s="524" t="s">
        <v>65</v>
      </c>
      <c r="C64" s="41" t="s">
        <v>101</v>
      </c>
      <c r="D64" s="41" t="s">
        <v>167</v>
      </c>
      <c r="E64" s="41" t="s">
        <v>228</v>
      </c>
      <c r="F64" s="41" t="s">
        <v>104</v>
      </c>
      <c r="G64" s="41" t="s">
        <v>101</v>
      </c>
      <c r="H64" s="41" t="s">
        <v>167</v>
      </c>
      <c r="I64" s="41" t="s">
        <v>228</v>
      </c>
      <c r="J64" s="41" t="s">
        <v>104</v>
      </c>
      <c r="K64" s="41" t="s">
        <v>101</v>
      </c>
      <c r="L64" s="41" t="s">
        <v>167</v>
      </c>
      <c r="M64" s="41" t="s">
        <v>228</v>
      </c>
      <c r="N64" s="41" t="s">
        <v>104</v>
      </c>
      <c r="O64" s="41" t="s">
        <v>101</v>
      </c>
      <c r="P64" s="41" t="s">
        <v>167</v>
      </c>
      <c r="Q64" s="41" t="s">
        <v>228</v>
      </c>
      <c r="R64" s="41" t="s">
        <v>104</v>
      </c>
      <c r="S64" s="41" t="s">
        <v>101</v>
      </c>
      <c r="T64" s="41" t="s">
        <v>167</v>
      </c>
      <c r="U64" s="41" t="s">
        <v>228</v>
      </c>
      <c r="V64" s="41" t="s">
        <v>104</v>
      </c>
      <c r="W64" s="41" t="s">
        <v>101</v>
      </c>
      <c r="X64" s="41" t="s">
        <v>167</v>
      </c>
      <c r="Y64" s="41" t="s">
        <v>228</v>
      </c>
      <c r="Z64" s="41" t="s">
        <v>104</v>
      </c>
      <c r="AA64" s="41" t="s">
        <v>101</v>
      </c>
      <c r="AB64" s="41" t="s">
        <v>167</v>
      </c>
      <c r="AC64" s="41" t="s">
        <v>228</v>
      </c>
      <c r="AD64" s="41" t="s">
        <v>104</v>
      </c>
      <c r="AE64" s="41" t="s">
        <v>101</v>
      </c>
      <c r="AF64" s="531" t="s">
        <v>167</v>
      </c>
      <c r="AG64" s="435"/>
    </row>
    <row r="65" spans="1:40" ht="15.75" customHeight="1" x14ac:dyDescent="0.25">
      <c r="A65" s="469"/>
      <c r="B65" s="453" t="s">
        <v>66</v>
      </c>
      <c r="C65" s="512" t="s">
        <v>101</v>
      </c>
      <c r="D65" s="512" t="s">
        <v>104</v>
      </c>
      <c r="E65" s="512" t="s">
        <v>101</v>
      </c>
      <c r="F65" s="512" t="s">
        <v>104</v>
      </c>
      <c r="G65" s="512" t="s">
        <v>101</v>
      </c>
      <c r="H65" s="512" t="s">
        <v>104</v>
      </c>
      <c r="I65" s="512" t="s">
        <v>101</v>
      </c>
      <c r="J65" s="512" t="s">
        <v>104</v>
      </c>
      <c r="K65" s="512" t="s">
        <v>101</v>
      </c>
      <c r="L65" s="512" t="s">
        <v>104</v>
      </c>
      <c r="M65" s="512" t="s">
        <v>101</v>
      </c>
      <c r="N65" s="512" t="s">
        <v>104</v>
      </c>
      <c r="O65" s="512" t="s">
        <v>101</v>
      </c>
      <c r="P65" s="512" t="s">
        <v>104</v>
      </c>
      <c r="Q65" s="512" t="s">
        <v>101</v>
      </c>
      <c r="R65" s="512" t="s">
        <v>104</v>
      </c>
      <c r="S65" s="512" t="s">
        <v>101</v>
      </c>
      <c r="T65" s="512" t="s">
        <v>104</v>
      </c>
      <c r="U65" s="512" t="s">
        <v>101</v>
      </c>
      <c r="V65" s="512" t="s">
        <v>104</v>
      </c>
      <c r="W65" s="512" t="s">
        <v>101</v>
      </c>
      <c r="X65" s="512" t="s">
        <v>104</v>
      </c>
      <c r="Y65" s="512" t="s">
        <v>101</v>
      </c>
      <c r="Z65" s="512" t="s">
        <v>104</v>
      </c>
      <c r="AA65" s="512" t="s">
        <v>101</v>
      </c>
      <c r="AB65" s="512" t="s">
        <v>104</v>
      </c>
      <c r="AC65" s="512" t="s">
        <v>101</v>
      </c>
      <c r="AD65" s="512" t="s">
        <v>104</v>
      </c>
      <c r="AE65" s="512" t="s">
        <v>101</v>
      </c>
      <c r="AF65" s="40" t="s">
        <v>104</v>
      </c>
      <c r="AG65" s="435"/>
    </row>
    <row r="66" spans="1:40" ht="15.75" customHeight="1" x14ac:dyDescent="0.25">
      <c r="A66" s="469"/>
      <c r="B66" s="470" t="s">
        <v>62</v>
      </c>
      <c r="C66" s="513" t="s">
        <v>364</v>
      </c>
      <c r="D66" s="513" t="s">
        <v>365</v>
      </c>
      <c r="E66" s="513" t="s">
        <v>366</v>
      </c>
      <c r="F66" s="513" t="s">
        <v>367</v>
      </c>
      <c r="G66" s="513" t="s">
        <v>368</v>
      </c>
      <c r="H66" s="513" t="s">
        <v>369</v>
      </c>
      <c r="I66" s="513" t="s">
        <v>370</v>
      </c>
      <c r="J66" s="513" t="s">
        <v>371</v>
      </c>
      <c r="K66" s="513" t="s">
        <v>372</v>
      </c>
      <c r="L66" s="513" t="s">
        <v>373</v>
      </c>
      <c r="M66" s="513" t="s">
        <v>374</v>
      </c>
      <c r="N66" s="513" t="s">
        <v>375</v>
      </c>
      <c r="O66" s="513" t="s">
        <v>376</v>
      </c>
      <c r="P66" s="513" t="s">
        <v>377</v>
      </c>
      <c r="Q66" s="513" t="s">
        <v>378</v>
      </c>
      <c r="R66" s="513" t="s">
        <v>379</v>
      </c>
      <c r="S66" s="513" t="s">
        <v>380</v>
      </c>
      <c r="T66" s="513" t="s">
        <v>381</v>
      </c>
      <c r="U66" s="513" t="s">
        <v>382</v>
      </c>
      <c r="V66" s="513" t="s">
        <v>383</v>
      </c>
      <c r="W66" s="513" t="s">
        <v>384</v>
      </c>
      <c r="X66" s="513" t="s">
        <v>385</v>
      </c>
      <c r="Y66" s="513" t="s">
        <v>386</v>
      </c>
      <c r="Z66" s="513" t="s">
        <v>387</v>
      </c>
      <c r="AA66" s="513" t="s">
        <v>388</v>
      </c>
      <c r="AB66" s="513" t="s">
        <v>389</v>
      </c>
      <c r="AC66" s="513" t="s">
        <v>390</v>
      </c>
      <c r="AD66" s="513" t="s">
        <v>391</v>
      </c>
      <c r="AE66" s="513" t="s">
        <v>392</v>
      </c>
      <c r="AF66" s="514" t="s">
        <v>393</v>
      </c>
      <c r="AG66" s="435"/>
      <c r="AH66" s="503" t="s">
        <v>452</v>
      </c>
      <c r="AI66" s="504"/>
      <c r="AJ66" s="504"/>
      <c r="AK66" s="504"/>
      <c r="AL66" s="504"/>
      <c r="AM66" s="505"/>
    </row>
    <row r="67" spans="1:40" ht="15.75" customHeight="1" x14ac:dyDescent="0.25">
      <c r="A67" s="469"/>
      <c r="B67" s="449" t="s">
        <v>67</v>
      </c>
      <c r="C67" s="512" t="s">
        <v>101</v>
      </c>
      <c r="D67" s="512" t="s">
        <v>104</v>
      </c>
      <c r="E67" s="512" t="s">
        <v>101</v>
      </c>
      <c r="F67" s="512" t="s">
        <v>104</v>
      </c>
      <c r="G67" s="512" t="s">
        <v>101</v>
      </c>
      <c r="H67" s="512" t="s">
        <v>104</v>
      </c>
      <c r="I67" s="512" t="s">
        <v>101</v>
      </c>
      <c r="J67" s="512" t="s">
        <v>104</v>
      </c>
      <c r="K67" s="512" t="s">
        <v>101</v>
      </c>
      <c r="L67" s="512" t="s">
        <v>104</v>
      </c>
      <c r="M67" s="512" t="s">
        <v>101</v>
      </c>
      <c r="N67" s="512" t="s">
        <v>104</v>
      </c>
      <c r="O67" s="512" t="s">
        <v>101</v>
      </c>
      <c r="P67" s="512" t="s">
        <v>104</v>
      </c>
      <c r="Q67" s="512" t="s">
        <v>101</v>
      </c>
      <c r="R67" s="512" t="s">
        <v>104</v>
      </c>
      <c r="S67" s="512" t="s">
        <v>101</v>
      </c>
      <c r="T67" s="512" t="s">
        <v>104</v>
      </c>
      <c r="U67" s="512" t="s">
        <v>101</v>
      </c>
      <c r="V67" s="512" t="s">
        <v>104</v>
      </c>
      <c r="W67" s="512" t="s">
        <v>101</v>
      </c>
      <c r="X67" s="512" t="s">
        <v>104</v>
      </c>
      <c r="Y67" s="512" t="s">
        <v>101</v>
      </c>
      <c r="Z67" s="512" t="s">
        <v>104</v>
      </c>
      <c r="AA67" s="512" t="s">
        <v>101</v>
      </c>
      <c r="AB67" s="512" t="s">
        <v>104</v>
      </c>
      <c r="AC67" s="512" t="s">
        <v>101</v>
      </c>
      <c r="AD67" s="512" t="s">
        <v>104</v>
      </c>
      <c r="AE67" s="512" t="s">
        <v>101</v>
      </c>
      <c r="AF67" s="40" t="s">
        <v>104</v>
      </c>
      <c r="AG67" s="435"/>
    </row>
    <row r="68" spans="1:40" ht="15.75" customHeight="1" thickBot="1" x14ac:dyDescent="0.3">
      <c r="A68" s="471"/>
      <c r="B68" s="450" t="s">
        <v>62</v>
      </c>
      <c r="C68" s="42" t="s">
        <v>397</v>
      </c>
      <c r="D68" s="42" t="s">
        <v>398</v>
      </c>
      <c r="E68" s="42" t="s">
        <v>399</v>
      </c>
      <c r="F68" s="42" t="s">
        <v>400</v>
      </c>
      <c r="G68" s="42" t="s">
        <v>401</v>
      </c>
      <c r="H68" s="42" t="s">
        <v>402</v>
      </c>
      <c r="I68" s="42" t="s">
        <v>403</v>
      </c>
      <c r="J68" s="42" t="s">
        <v>404</v>
      </c>
      <c r="K68" s="42" t="s">
        <v>405</v>
      </c>
      <c r="L68" s="42" t="s">
        <v>406</v>
      </c>
      <c r="M68" s="42" t="s">
        <v>407</v>
      </c>
      <c r="N68" s="42" t="s">
        <v>408</v>
      </c>
      <c r="O68" s="42" t="s">
        <v>409</v>
      </c>
      <c r="P68" s="42" t="s">
        <v>410</v>
      </c>
      <c r="Q68" s="42" t="s">
        <v>411</v>
      </c>
      <c r="R68" s="42" t="s">
        <v>412</v>
      </c>
      <c r="S68" s="42" t="s">
        <v>413</v>
      </c>
      <c r="T68" s="42" t="s">
        <v>414</v>
      </c>
      <c r="U68" s="42" t="s">
        <v>415</v>
      </c>
      <c r="V68" s="42" t="s">
        <v>416</v>
      </c>
      <c r="W68" s="42" t="s">
        <v>417</v>
      </c>
      <c r="X68" s="42" t="s">
        <v>418</v>
      </c>
      <c r="Y68" s="42" t="s">
        <v>419</v>
      </c>
      <c r="Z68" s="42" t="s">
        <v>420</v>
      </c>
      <c r="AA68" s="42" t="s">
        <v>421</v>
      </c>
      <c r="AB68" s="42" t="s">
        <v>422</v>
      </c>
      <c r="AC68" s="42" t="s">
        <v>423</v>
      </c>
      <c r="AD68" s="42" t="s">
        <v>424</v>
      </c>
      <c r="AE68" s="42" t="s">
        <v>425</v>
      </c>
      <c r="AF68" s="43" t="s">
        <v>426</v>
      </c>
      <c r="AG68" s="435"/>
      <c r="AH68" s="506" t="s">
        <v>60</v>
      </c>
      <c r="AI68" s="507"/>
      <c r="AJ68" s="508"/>
      <c r="AL68" s="506" t="s">
        <v>116</v>
      </c>
      <c r="AM68" s="508"/>
    </row>
    <row r="69" spans="1:40" ht="15" thickBot="1" x14ac:dyDescent="0.3">
      <c r="A69" s="472" t="s">
        <v>484</v>
      </c>
      <c r="B69" s="529"/>
      <c r="C69" s="529"/>
      <c r="D69" s="529"/>
      <c r="E69" s="529"/>
      <c r="F69" s="529"/>
      <c r="G69" s="529"/>
      <c r="H69" s="529"/>
      <c r="I69" s="529"/>
      <c r="J69" s="529"/>
      <c r="K69" s="529"/>
      <c r="L69" s="529"/>
      <c r="M69" s="529"/>
      <c r="N69" s="529"/>
      <c r="O69" s="529"/>
      <c r="P69" s="529"/>
      <c r="Q69" s="529"/>
      <c r="R69" s="529"/>
      <c r="S69" s="529"/>
      <c r="T69" s="529"/>
      <c r="U69" s="529"/>
      <c r="V69" s="529"/>
      <c r="W69" s="529"/>
      <c r="X69" s="529"/>
      <c r="Y69" s="529"/>
      <c r="Z69" s="529"/>
      <c r="AA69" s="529"/>
      <c r="AB69" s="529"/>
      <c r="AC69" s="529"/>
      <c r="AD69" s="529"/>
      <c r="AE69" s="529"/>
      <c r="AF69" s="530"/>
      <c r="AG69" s="441"/>
      <c r="AH69" s="509" t="s">
        <v>101</v>
      </c>
      <c r="AI69" s="509" t="s">
        <v>104</v>
      </c>
      <c r="AJ69" s="509" t="s">
        <v>61</v>
      </c>
      <c r="AK69" s="435"/>
      <c r="AL69" s="509" t="s">
        <v>101</v>
      </c>
      <c r="AM69" s="509" t="s">
        <v>104</v>
      </c>
      <c r="AN69" s="502"/>
    </row>
    <row r="70" spans="1:40" s="475" customFormat="1" ht="15" thickBot="1" x14ac:dyDescent="0.3">
      <c r="A70" s="473" t="s">
        <v>68</v>
      </c>
      <c r="B70" s="474" t="s">
        <v>69</v>
      </c>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60"/>
      <c r="AH70" s="509">
        <f>COUNTIF(C70:AF70,"Oui")</f>
        <v>0</v>
      </c>
      <c r="AI70" s="509">
        <f>COUNTIF(C70:AF70,"Non")</f>
        <v>0</v>
      </c>
      <c r="AJ70" s="509">
        <f>SUM(AH70:AI70)</f>
        <v>0</v>
      </c>
      <c r="AL70" s="510" t="e">
        <f t="shared" ref="AL70:AL100" si="0">AH70/AJ70</f>
        <v>#DIV/0!</v>
      </c>
      <c r="AM70" s="510" t="e">
        <f t="shared" ref="AM70:AM100" si="1">AI70/AJ70</f>
        <v>#DIV/0!</v>
      </c>
    </row>
    <row r="71" spans="1:40" s="437" customFormat="1" ht="15" thickBot="1" x14ac:dyDescent="0.3">
      <c r="A71" s="473"/>
      <c r="B71" s="476" t="s">
        <v>70</v>
      </c>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61"/>
      <c r="AH71" s="509">
        <f t="shared" ref="AH71:AH93" si="2">COUNTIF(C71:AF71,"Oui")</f>
        <v>0</v>
      </c>
      <c r="AI71" s="509">
        <f t="shared" ref="AI71:AI93" si="3">COUNTIF(C71:AF71,"Non")</f>
        <v>0</v>
      </c>
      <c r="AJ71" s="509">
        <f t="shared" ref="AJ71:AJ93" si="4">SUM(AH71:AI71)</f>
        <v>0</v>
      </c>
      <c r="AL71" s="510" t="e">
        <f t="shared" si="0"/>
        <v>#DIV/0!</v>
      </c>
      <c r="AM71" s="510" t="e">
        <f t="shared" si="1"/>
        <v>#DIV/0!</v>
      </c>
    </row>
    <row r="72" spans="1:40" s="437" customFormat="1" ht="15" thickBot="1" x14ac:dyDescent="0.3">
      <c r="A72" s="473"/>
      <c r="B72" s="477" t="s">
        <v>71</v>
      </c>
      <c r="C72" s="39"/>
      <c r="D72" s="39"/>
      <c r="E72" s="39"/>
      <c r="F72" s="39"/>
      <c r="G72" s="39"/>
      <c r="H72" s="39"/>
      <c r="I72" s="39"/>
      <c r="J72" s="39"/>
      <c r="K72" s="39"/>
      <c r="L72" s="39"/>
      <c r="M72" s="39"/>
      <c r="N72" s="39"/>
      <c r="O72" s="39"/>
      <c r="P72" s="39"/>
      <c r="Q72" s="39"/>
      <c r="R72" s="39"/>
      <c r="S72" s="39"/>
      <c r="T72" s="39"/>
      <c r="U72" s="39"/>
      <c r="V72" s="39"/>
      <c r="W72" s="39"/>
      <c r="X72" s="39"/>
      <c r="Y72" s="39"/>
      <c r="Z72" s="39"/>
      <c r="AA72" s="39"/>
      <c r="AB72" s="39"/>
      <c r="AC72" s="39"/>
      <c r="AD72" s="39"/>
      <c r="AE72" s="39"/>
      <c r="AF72" s="62"/>
      <c r="AH72" s="509">
        <f t="shared" si="2"/>
        <v>0</v>
      </c>
      <c r="AI72" s="509">
        <f t="shared" si="3"/>
        <v>0</v>
      </c>
      <c r="AJ72" s="509">
        <f t="shared" si="4"/>
        <v>0</v>
      </c>
      <c r="AL72" s="510" t="e">
        <f t="shared" si="0"/>
        <v>#DIV/0!</v>
      </c>
      <c r="AM72" s="510" t="e">
        <f t="shared" si="1"/>
        <v>#DIV/0!</v>
      </c>
    </row>
    <row r="73" spans="1:40" s="437" customFormat="1" ht="15" thickBot="1" x14ac:dyDescent="0.3">
      <c r="A73" s="473"/>
      <c r="B73" s="476" t="s">
        <v>72</v>
      </c>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61"/>
      <c r="AH73" s="509">
        <f t="shared" si="2"/>
        <v>0</v>
      </c>
      <c r="AI73" s="509">
        <f t="shared" si="3"/>
        <v>0</v>
      </c>
      <c r="AJ73" s="509">
        <f t="shared" si="4"/>
        <v>0</v>
      </c>
      <c r="AL73" s="510" t="e">
        <f t="shared" si="0"/>
        <v>#DIV/0!</v>
      </c>
      <c r="AM73" s="510" t="e">
        <f t="shared" si="1"/>
        <v>#DIV/0!</v>
      </c>
    </row>
    <row r="74" spans="1:40" s="437" customFormat="1" ht="15" thickBot="1" x14ac:dyDescent="0.3">
      <c r="A74" s="473"/>
      <c r="B74" s="477" t="s">
        <v>73</v>
      </c>
      <c r="C74" s="39"/>
      <c r="D74" s="39"/>
      <c r="E74" s="39"/>
      <c r="F74" s="39"/>
      <c r="G74" s="39"/>
      <c r="H74" s="39"/>
      <c r="I74" s="39"/>
      <c r="J74" s="39"/>
      <c r="K74" s="39"/>
      <c r="L74" s="39"/>
      <c r="M74" s="39"/>
      <c r="N74" s="39"/>
      <c r="O74" s="39"/>
      <c r="P74" s="39"/>
      <c r="Q74" s="39"/>
      <c r="R74" s="39"/>
      <c r="S74" s="39"/>
      <c r="T74" s="39"/>
      <c r="U74" s="39"/>
      <c r="V74" s="39"/>
      <c r="W74" s="39"/>
      <c r="X74" s="39"/>
      <c r="Y74" s="39"/>
      <c r="Z74" s="39"/>
      <c r="AA74" s="39"/>
      <c r="AB74" s="39"/>
      <c r="AC74" s="39"/>
      <c r="AD74" s="39"/>
      <c r="AE74" s="39"/>
      <c r="AF74" s="62"/>
      <c r="AH74" s="509">
        <f t="shared" si="2"/>
        <v>0</v>
      </c>
      <c r="AI74" s="509">
        <f t="shared" si="3"/>
        <v>0</v>
      </c>
      <c r="AJ74" s="509">
        <f t="shared" si="4"/>
        <v>0</v>
      </c>
      <c r="AL74" s="510" t="e">
        <f t="shared" si="0"/>
        <v>#DIV/0!</v>
      </c>
      <c r="AM74" s="510" t="e">
        <f t="shared" si="1"/>
        <v>#DIV/0!</v>
      </c>
    </row>
    <row r="75" spans="1:40" s="437" customFormat="1" ht="15" thickBot="1" x14ac:dyDescent="0.3">
      <c r="A75" s="473"/>
      <c r="B75" s="476" t="s">
        <v>74</v>
      </c>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61"/>
      <c r="AH75" s="509">
        <f t="shared" si="2"/>
        <v>0</v>
      </c>
      <c r="AI75" s="509">
        <f t="shared" si="3"/>
        <v>0</v>
      </c>
      <c r="AJ75" s="509">
        <f t="shared" si="4"/>
        <v>0</v>
      </c>
      <c r="AL75" s="510" t="e">
        <f t="shared" si="0"/>
        <v>#DIV/0!</v>
      </c>
      <c r="AM75" s="510" t="e">
        <f t="shared" si="1"/>
        <v>#DIV/0!</v>
      </c>
    </row>
    <row r="76" spans="1:40" s="437" customFormat="1" ht="15" thickBot="1" x14ac:dyDescent="0.3">
      <c r="A76" s="473"/>
      <c r="B76" s="477" t="s">
        <v>75</v>
      </c>
      <c r="C76" s="39"/>
      <c r="D76" s="39"/>
      <c r="E76" s="39"/>
      <c r="F76" s="39"/>
      <c r="G76" s="39"/>
      <c r="H76" s="39"/>
      <c r="I76" s="39"/>
      <c r="J76" s="39"/>
      <c r="K76" s="39"/>
      <c r="L76" s="39"/>
      <c r="M76" s="39"/>
      <c r="N76" s="39"/>
      <c r="O76" s="39"/>
      <c r="P76" s="39"/>
      <c r="Q76" s="39"/>
      <c r="R76" s="39"/>
      <c r="S76" s="39"/>
      <c r="T76" s="39"/>
      <c r="U76" s="39"/>
      <c r="V76" s="39"/>
      <c r="W76" s="39"/>
      <c r="X76" s="39"/>
      <c r="Y76" s="39"/>
      <c r="Z76" s="39"/>
      <c r="AA76" s="39"/>
      <c r="AB76" s="39"/>
      <c r="AC76" s="39"/>
      <c r="AD76" s="39"/>
      <c r="AE76" s="39"/>
      <c r="AF76" s="62"/>
      <c r="AH76" s="509">
        <f t="shared" si="2"/>
        <v>0</v>
      </c>
      <c r="AI76" s="509">
        <f t="shared" si="3"/>
        <v>0</v>
      </c>
      <c r="AJ76" s="509">
        <f t="shared" si="4"/>
        <v>0</v>
      </c>
      <c r="AL76" s="510" t="e">
        <f t="shared" si="0"/>
        <v>#DIV/0!</v>
      </c>
      <c r="AM76" s="510" t="e">
        <f t="shared" si="1"/>
        <v>#DIV/0!</v>
      </c>
    </row>
    <row r="77" spans="1:40" s="437" customFormat="1" ht="15" thickBot="1" x14ac:dyDescent="0.3">
      <c r="A77" s="473"/>
      <c r="B77" s="476" t="s">
        <v>76</v>
      </c>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c r="AE77" s="38"/>
      <c r="AF77" s="61"/>
      <c r="AH77" s="509">
        <f t="shared" si="2"/>
        <v>0</v>
      </c>
      <c r="AI77" s="509">
        <f t="shared" si="3"/>
        <v>0</v>
      </c>
      <c r="AJ77" s="509">
        <f t="shared" si="4"/>
        <v>0</v>
      </c>
      <c r="AL77" s="510" t="e">
        <f t="shared" si="0"/>
        <v>#DIV/0!</v>
      </c>
      <c r="AM77" s="510" t="e">
        <f t="shared" si="1"/>
        <v>#DIV/0!</v>
      </c>
    </row>
    <row r="78" spans="1:40" s="437" customFormat="1" ht="15" thickBot="1" x14ac:dyDescent="0.3">
      <c r="A78" s="473"/>
      <c r="B78" s="478" t="s">
        <v>77</v>
      </c>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4"/>
      <c r="AH78" s="509">
        <f t="shared" si="2"/>
        <v>0</v>
      </c>
      <c r="AI78" s="509">
        <f t="shared" si="3"/>
        <v>0</v>
      </c>
      <c r="AJ78" s="509">
        <f t="shared" si="4"/>
        <v>0</v>
      </c>
      <c r="AL78" s="510" t="e">
        <f t="shared" si="0"/>
        <v>#DIV/0!</v>
      </c>
      <c r="AM78" s="510" t="e">
        <f t="shared" si="1"/>
        <v>#DIV/0!</v>
      </c>
    </row>
    <row r="79" spans="1:40" s="437" customFormat="1" ht="15" thickBot="1" x14ac:dyDescent="0.3">
      <c r="A79" s="473" t="s">
        <v>78</v>
      </c>
      <c r="B79" s="479" t="s">
        <v>79</v>
      </c>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6"/>
      <c r="AH79" s="509">
        <f t="shared" si="2"/>
        <v>0</v>
      </c>
      <c r="AI79" s="509">
        <f t="shared" si="3"/>
        <v>0</v>
      </c>
      <c r="AJ79" s="509">
        <f t="shared" si="4"/>
        <v>0</v>
      </c>
      <c r="AL79" s="510" t="e">
        <f t="shared" si="0"/>
        <v>#DIV/0!</v>
      </c>
      <c r="AM79" s="510" t="e">
        <f t="shared" si="1"/>
        <v>#DIV/0!</v>
      </c>
    </row>
    <row r="80" spans="1:40" s="437" customFormat="1" ht="15" thickBot="1" x14ac:dyDescent="0.3">
      <c r="A80" s="473"/>
      <c r="B80" s="477" t="s">
        <v>80</v>
      </c>
      <c r="C80" s="39"/>
      <c r="D80" s="39"/>
      <c r="E80" s="39"/>
      <c r="F80" s="39"/>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62"/>
      <c r="AH80" s="509">
        <f t="shared" si="2"/>
        <v>0</v>
      </c>
      <c r="AI80" s="509">
        <f t="shared" si="3"/>
        <v>0</v>
      </c>
      <c r="AJ80" s="509">
        <f t="shared" si="4"/>
        <v>0</v>
      </c>
      <c r="AL80" s="510" t="e">
        <f t="shared" si="0"/>
        <v>#DIV/0!</v>
      </c>
      <c r="AM80" s="510" t="e">
        <f t="shared" si="1"/>
        <v>#DIV/0!</v>
      </c>
    </row>
    <row r="81" spans="1:39" s="437" customFormat="1" ht="15" thickBot="1" x14ac:dyDescent="0.3">
      <c r="A81" s="473"/>
      <c r="B81" s="476" t="s">
        <v>81</v>
      </c>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61"/>
      <c r="AH81" s="509">
        <f t="shared" si="2"/>
        <v>0</v>
      </c>
      <c r="AI81" s="509">
        <f t="shared" si="3"/>
        <v>0</v>
      </c>
      <c r="AJ81" s="509">
        <f t="shared" si="4"/>
        <v>0</v>
      </c>
      <c r="AL81" s="510" t="e">
        <f t="shared" si="0"/>
        <v>#DIV/0!</v>
      </c>
      <c r="AM81" s="510" t="e">
        <f t="shared" si="1"/>
        <v>#DIV/0!</v>
      </c>
    </row>
    <row r="82" spans="1:39" s="437" customFormat="1" ht="15" thickBot="1" x14ac:dyDescent="0.3">
      <c r="A82" s="473"/>
      <c r="B82" s="477" t="s">
        <v>82</v>
      </c>
      <c r="C82" s="39"/>
      <c r="D82" s="39"/>
      <c r="E82" s="39"/>
      <c r="F82" s="39"/>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62"/>
      <c r="AH82" s="509">
        <f t="shared" si="2"/>
        <v>0</v>
      </c>
      <c r="AI82" s="509">
        <f t="shared" si="3"/>
        <v>0</v>
      </c>
      <c r="AJ82" s="509">
        <f t="shared" si="4"/>
        <v>0</v>
      </c>
      <c r="AL82" s="510" t="e">
        <f t="shared" si="0"/>
        <v>#DIV/0!</v>
      </c>
      <c r="AM82" s="510" t="e">
        <f t="shared" si="1"/>
        <v>#DIV/0!</v>
      </c>
    </row>
    <row r="83" spans="1:39" s="437" customFormat="1" ht="15" thickBot="1" x14ac:dyDescent="0.3">
      <c r="A83" s="473"/>
      <c r="B83" s="476" t="s">
        <v>83</v>
      </c>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61"/>
      <c r="AH83" s="509">
        <f t="shared" si="2"/>
        <v>0</v>
      </c>
      <c r="AI83" s="509">
        <f t="shared" si="3"/>
        <v>0</v>
      </c>
      <c r="AJ83" s="509">
        <f t="shared" si="4"/>
        <v>0</v>
      </c>
      <c r="AL83" s="510" t="e">
        <f t="shared" si="0"/>
        <v>#DIV/0!</v>
      </c>
      <c r="AM83" s="510" t="e">
        <f t="shared" si="1"/>
        <v>#DIV/0!</v>
      </c>
    </row>
    <row r="84" spans="1:39" s="437" customFormat="1" ht="15" thickBot="1" x14ac:dyDescent="0.3">
      <c r="A84" s="473"/>
      <c r="B84" s="478" t="s">
        <v>84</v>
      </c>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4"/>
      <c r="AH84" s="509">
        <f t="shared" si="2"/>
        <v>0</v>
      </c>
      <c r="AI84" s="509">
        <f t="shared" si="3"/>
        <v>0</v>
      </c>
      <c r="AJ84" s="509">
        <f t="shared" si="4"/>
        <v>0</v>
      </c>
      <c r="AL84" s="510" t="e">
        <f t="shared" si="0"/>
        <v>#DIV/0!</v>
      </c>
      <c r="AM84" s="510" t="e">
        <f t="shared" si="1"/>
        <v>#DIV/0!</v>
      </c>
    </row>
    <row r="85" spans="1:39" s="437" customFormat="1" ht="15" thickBot="1" x14ac:dyDescent="0.3">
      <c r="A85" s="473" t="s">
        <v>85</v>
      </c>
      <c r="B85" s="479" t="s">
        <v>70</v>
      </c>
      <c r="C85" s="65" t="s">
        <v>104</v>
      </c>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6"/>
      <c r="AH85" s="509">
        <f t="shared" si="2"/>
        <v>0</v>
      </c>
      <c r="AI85" s="509">
        <f t="shared" si="3"/>
        <v>1</v>
      </c>
      <c r="AJ85" s="509">
        <f t="shared" si="4"/>
        <v>1</v>
      </c>
      <c r="AL85" s="510">
        <f t="shared" si="0"/>
        <v>0</v>
      </c>
      <c r="AM85" s="510">
        <f t="shared" si="1"/>
        <v>1</v>
      </c>
    </row>
    <row r="86" spans="1:39" s="437" customFormat="1" ht="15" thickBot="1" x14ac:dyDescent="0.3">
      <c r="A86" s="473"/>
      <c r="B86" s="477" t="s">
        <v>71</v>
      </c>
      <c r="C86" s="39" t="s">
        <v>104</v>
      </c>
      <c r="D86" s="39"/>
      <c r="E86" s="39"/>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62"/>
      <c r="AH86" s="509">
        <f t="shared" si="2"/>
        <v>0</v>
      </c>
      <c r="AI86" s="509">
        <f t="shared" si="3"/>
        <v>1</v>
      </c>
      <c r="AJ86" s="509">
        <f t="shared" si="4"/>
        <v>1</v>
      </c>
      <c r="AL86" s="510">
        <f t="shared" si="0"/>
        <v>0</v>
      </c>
      <c r="AM86" s="510">
        <f t="shared" si="1"/>
        <v>1</v>
      </c>
    </row>
    <row r="87" spans="1:39" s="437" customFormat="1" ht="15" thickBot="1" x14ac:dyDescent="0.3">
      <c r="A87" s="473"/>
      <c r="B87" s="476" t="s">
        <v>72</v>
      </c>
      <c r="C87" s="38" t="s">
        <v>104</v>
      </c>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61"/>
      <c r="AH87" s="509">
        <f t="shared" si="2"/>
        <v>0</v>
      </c>
      <c r="AI87" s="509">
        <f t="shared" si="3"/>
        <v>1</v>
      </c>
      <c r="AJ87" s="509">
        <f t="shared" si="4"/>
        <v>1</v>
      </c>
      <c r="AL87" s="510">
        <f t="shared" si="0"/>
        <v>0</v>
      </c>
      <c r="AM87" s="510">
        <f t="shared" si="1"/>
        <v>1</v>
      </c>
    </row>
    <row r="88" spans="1:39" s="437" customFormat="1" ht="15" thickBot="1" x14ac:dyDescent="0.3">
      <c r="A88" s="473"/>
      <c r="B88" s="477" t="s">
        <v>73</v>
      </c>
      <c r="C88" s="39" t="s">
        <v>101</v>
      </c>
      <c r="D88" s="39"/>
      <c r="E88" s="39"/>
      <c r="F88" s="39"/>
      <c r="G88" s="39"/>
      <c r="H88" s="39"/>
      <c r="I88" s="39"/>
      <c r="J88" s="39"/>
      <c r="K88" s="39"/>
      <c r="L88" s="39"/>
      <c r="M88" s="39"/>
      <c r="N88" s="39"/>
      <c r="O88" s="39"/>
      <c r="P88" s="39"/>
      <c r="Q88" s="39"/>
      <c r="R88" s="39"/>
      <c r="S88" s="39"/>
      <c r="T88" s="39"/>
      <c r="U88" s="39"/>
      <c r="V88" s="39"/>
      <c r="W88" s="39"/>
      <c r="X88" s="39"/>
      <c r="Y88" s="39"/>
      <c r="Z88" s="39"/>
      <c r="AA88" s="39"/>
      <c r="AB88" s="39"/>
      <c r="AC88" s="39"/>
      <c r="AD88" s="39"/>
      <c r="AE88" s="39"/>
      <c r="AF88" s="62"/>
      <c r="AH88" s="509">
        <f t="shared" si="2"/>
        <v>1</v>
      </c>
      <c r="AI88" s="509">
        <f t="shared" si="3"/>
        <v>0</v>
      </c>
      <c r="AJ88" s="509">
        <f t="shared" si="4"/>
        <v>1</v>
      </c>
      <c r="AL88" s="510">
        <f t="shared" si="0"/>
        <v>1</v>
      </c>
      <c r="AM88" s="510">
        <f t="shared" si="1"/>
        <v>0</v>
      </c>
    </row>
    <row r="89" spans="1:39" s="437" customFormat="1" ht="15" thickBot="1" x14ac:dyDescent="0.3">
      <c r="A89" s="473"/>
      <c r="B89" s="476" t="s">
        <v>86</v>
      </c>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61"/>
      <c r="AH89" s="509">
        <f t="shared" si="2"/>
        <v>0</v>
      </c>
      <c r="AI89" s="509">
        <f t="shared" si="3"/>
        <v>0</v>
      </c>
      <c r="AJ89" s="509">
        <f t="shared" si="4"/>
        <v>0</v>
      </c>
      <c r="AL89" s="510" t="e">
        <f t="shared" si="0"/>
        <v>#DIV/0!</v>
      </c>
      <c r="AM89" s="510" t="e">
        <f t="shared" si="1"/>
        <v>#DIV/0!</v>
      </c>
    </row>
    <row r="90" spans="1:39" s="437" customFormat="1" ht="15" thickBot="1" x14ac:dyDescent="0.3">
      <c r="A90" s="473"/>
      <c r="B90" s="477" t="s">
        <v>83</v>
      </c>
      <c r="C90" s="39"/>
      <c r="D90" s="39"/>
      <c r="E90" s="39"/>
      <c r="F90" s="39"/>
      <c r="G90" s="39"/>
      <c r="H90" s="39"/>
      <c r="I90" s="39"/>
      <c r="J90" s="39"/>
      <c r="K90" s="39"/>
      <c r="L90" s="39"/>
      <c r="M90" s="39"/>
      <c r="N90" s="39"/>
      <c r="O90" s="39"/>
      <c r="P90" s="39"/>
      <c r="Q90" s="39"/>
      <c r="R90" s="39"/>
      <c r="S90" s="39"/>
      <c r="T90" s="39"/>
      <c r="U90" s="39"/>
      <c r="V90" s="39"/>
      <c r="W90" s="39"/>
      <c r="X90" s="39"/>
      <c r="Y90" s="39"/>
      <c r="Z90" s="39"/>
      <c r="AA90" s="39"/>
      <c r="AB90" s="39"/>
      <c r="AC90" s="39"/>
      <c r="AD90" s="39"/>
      <c r="AE90" s="39"/>
      <c r="AF90" s="62"/>
      <c r="AH90" s="509">
        <f t="shared" si="2"/>
        <v>0</v>
      </c>
      <c r="AI90" s="509">
        <f t="shared" si="3"/>
        <v>0</v>
      </c>
      <c r="AJ90" s="509">
        <f t="shared" si="4"/>
        <v>0</v>
      </c>
      <c r="AL90" s="510" t="e">
        <f t="shared" si="0"/>
        <v>#DIV/0!</v>
      </c>
      <c r="AM90" s="510" t="e">
        <f t="shared" si="1"/>
        <v>#DIV/0!</v>
      </c>
    </row>
    <row r="91" spans="1:39" s="437" customFormat="1" ht="15" thickBot="1" x14ac:dyDescent="0.3">
      <c r="A91" s="473"/>
      <c r="B91" s="480" t="s">
        <v>87</v>
      </c>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61"/>
      <c r="AH91" s="509">
        <f t="shared" si="2"/>
        <v>0</v>
      </c>
      <c r="AI91" s="509">
        <f t="shared" si="3"/>
        <v>0</v>
      </c>
      <c r="AJ91" s="509">
        <f t="shared" si="4"/>
        <v>0</v>
      </c>
      <c r="AL91" s="510" t="e">
        <f t="shared" si="0"/>
        <v>#DIV/0!</v>
      </c>
      <c r="AM91" s="510" t="e">
        <f t="shared" si="1"/>
        <v>#DIV/0!</v>
      </c>
    </row>
    <row r="92" spans="1:39" s="437" customFormat="1" ht="15" thickBot="1" x14ac:dyDescent="0.3">
      <c r="A92" s="473"/>
      <c r="B92" s="481" t="s">
        <v>88</v>
      </c>
      <c r="C92" s="39"/>
      <c r="D92" s="39"/>
      <c r="E92" s="39"/>
      <c r="F92" s="39"/>
      <c r="G92" s="39"/>
      <c r="H92" s="39"/>
      <c r="I92" s="39"/>
      <c r="J92" s="39"/>
      <c r="K92" s="39"/>
      <c r="L92" s="39"/>
      <c r="M92" s="39"/>
      <c r="N92" s="39"/>
      <c r="O92" s="39"/>
      <c r="P92" s="39"/>
      <c r="Q92" s="39"/>
      <c r="R92" s="39"/>
      <c r="S92" s="39"/>
      <c r="T92" s="39"/>
      <c r="U92" s="39"/>
      <c r="V92" s="39"/>
      <c r="W92" s="39"/>
      <c r="X92" s="39"/>
      <c r="Y92" s="39"/>
      <c r="Z92" s="39"/>
      <c r="AA92" s="39"/>
      <c r="AB92" s="39"/>
      <c r="AC92" s="39"/>
      <c r="AD92" s="39"/>
      <c r="AE92" s="39"/>
      <c r="AF92" s="62"/>
      <c r="AH92" s="509">
        <f t="shared" si="2"/>
        <v>0</v>
      </c>
      <c r="AI92" s="509">
        <f t="shared" si="3"/>
        <v>0</v>
      </c>
      <c r="AJ92" s="509">
        <f t="shared" si="4"/>
        <v>0</v>
      </c>
      <c r="AL92" s="510" t="e">
        <f t="shared" si="0"/>
        <v>#DIV/0!</v>
      </c>
      <c r="AM92" s="510" t="e">
        <f t="shared" si="1"/>
        <v>#DIV/0!</v>
      </c>
    </row>
    <row r="93" spans="1:39" s="437" customFormat="1" ht="15" thickBot="1" x14ac:dyDescent="0.3">
      <c r="A93" s="473"/>
      <c r="B93" s="482" t="s">
        <v>448</v>
      </c>
      <c r="C93" s="67" t="s">
        <v>104</v>
      </c>
      <c r="D93" s="67" t="s">
        <v>101</v>
      </c>
      <c r="E93" s="67" t="s">
        <v>101</v>
      </c>
      <c r="F93" s="67" t="s">
        <v>104</v>
      </c>
      <c r="G93" s="67" t="s">
        <v>101</v>
      </c>
      <c r="H93" s="67" t="s">
        <v>104</v>
      </c>
      <c r="I93" s="67" t="s">
        <v>101</v>
      </c>
      <c r="J93" s="67" t="s">
        <v>104</v>
      </c>
      <c r="K93" s="67" t="s">
        <v>101</v>
      </c>
      <c r="L93" s="67" t="s">
        <v>104</v>
      </c>
      <c r="M93" s="67" t="s">
        <v>101</v>
      </c>
      <c r="N93" s="67" t="s">
        <v>104</v>
      </c>
      <c r="O93" s="67" t="s">
        <v>101</v>
      </c>
      <c r="P93" s="67" t="s">
        <v>104</v>
      </c>
      <c r="Q93" s="67" t="s">
        <v>101</v>
      </c>
      <c r="R93" s="67" t="s">
        <v>104</v>
      </c>
      <c r="S93" s="67" t="s">
        <v>101</v>
      </c>
      <c r="T93" s="67" t="s">
        <v>104</v>
      </c>
      <c r="U93" s="67" t="s">
        <v>101</v>
      </c>
      <c r="V93" s="67" t="s">
        <v>104</v>
      </c>
      <c r="W93" s="67" t="s">
        <v>101</v>
      </c>
      <c r="X93" s="67" t="s">
        <v>104</v>
      </c>
      <c r="Y93" s="67" t="s">
        <v>101</v>
      </c>
      <c r="Z93" s="67" t="s">
        <v>104</v>
      </c>
      <c r="AA93" s="67" t="s">
        <v>101</v>
      </c>
      <c r="AB93" s="67" t="s">
        <v>104</v>
      </c>
      <c r="AC93" s="67" t="s">
        <v>101</v>
      </c>
      <c r="AD93" s="67" t="s">
        <v>104</v>
      </c>
      <c r="AE93" s="67" t="s">
        <v>101</v>
      </c>
      <c r="AF93" s="67" t="s">
        <v>104</v>
      </c>
      <c r="AH93" s="509">
        <f t="shared" si="2"/>
        <v>15</v>
      </c>
      <c r="AI93" s="509">
        <f t="shared" si="3"/>
        <v>15</v>
      </c>
      <c r="AJ93" s="509">
        <f t="shared" si="4"/>
        <v>30</v>
      </c>
      <c r="AL93" s="510">
        <f t="shared" si="0"/>
        <v>0.5</v>
      </c>
      <c r="AM93" s="510">
        <f t="shared" si="1"/>
        <v>0.5</v>
      </c>
    </row>
    <row r="94" spans="1:39" s="437" customFormat="1" ht="15" thickBot="1" x14ac:dyDescent="0.3">
      <c r="A94" s="473" t="s">
        <v>89</v>
      </c>
      <c r="B94" s="483" t="s">
        <v>454</v>
      </c>
      <c r="C94" s="255" t="s">
        <v>101</v>
      </c>
      <c r="D94" s="65" t="s">
        <v>104</v>
      </c>
      <c r="E94" s="65" t="s">
        <v>101</v>
      </c>
      <c r="F94" s="65" t="s">
        <v>104</v>
      </c>
      <c r="G94" s="65" t="s">
        <v>101</v>
      </c>
      <c r="H94" s="65" t="s">
        <v>104</v>
      </c>
      <c r="I94" s="65" t="s">
        <v>101</v>
      </c>
      <c r="J94" s="65" t="s">
        <v>104</v>
      </c>
      <c r="K94" s="65" t="s">
        <v>101</v>
      </c>
      <c r="L94" s="65" t="s">
        <v>104</v>
      </c>
      <c r="M94" s="65" t="s">
        <v>101</v>
      </c>
      <c r="N94" s="65" t="s">
        <v>104</v>
      </c>
      <c r="O94" s="65" t="s">
        <v>101</v>
      </c>
      <c r="P94" s="65" t="s">
        <v>104</v>
      </c>
      <c r="Q94" s="65" t="s">
        <v>101</v>
      </c>
      <c r="R94" s="65" t="s">
        <v>104</v>
      </c>
      <c r="S94" s="65" t="s">
        <v>101</v>
      </c>
      <c r="T94" s="65" t="s">
        <v>104</v>
      </c>
      <c r="U94" s="65" t="s">
        <v>101</v>
      </c>
      <c r="V94" s="65" t="s">
        <v>104</v>
      </c>
      <c r="W94" s="65" t="s">
        <v>101</v>
      </c>
      <c r="X94" s="65" t="s">
        <v>104</v>
      </c>
      <c r="Y94" s="65" t="s">
        <v>101</v>
      </c>
      <c r="Z94" s="65" t="s">
        <v>104</v>
      </c>
      <c r="AA94" s="65" t="s">
        <v>101</v>
      </c>
      <c r="AB94" s="65" t="s">
        <v>104</v>
      </c>
      <c r="AC94" s="65" t="s">
        <v>101</v>
      </c>
      <c r="AD94" s="65" t="s">
        <v>104</v>
      </c>
      <c r="AE94" s="65" t="s">
        <v>101</v>
      </c>
      <c r="AF94" s="66" t="s">
        <v>104</v>
      </c>
      <c r="AH94" s="509">
        <f>COUNTIF(C94:AF94,"Oui")</f>
        <v>15</v>
      </c>
      <c r="AI94" s="509">
        <f>COUNTIF(C94:AF94,"Non")</f>
        <v>15</v>
      </c>
      <c r="AJ94" s="509">
        <f>SUM(AH94:AI94)</f>
        <v>30</v>
      </c>
      <c r="AL94" s="510">
        <f t="shared" si="0"/>
        <v>0.5</v>
      </c>
      <c r="AM94" s="510">
        <f t="shared" si="1"/>
        <v>0.5</v>
      </c>
    </row>
    <row r="95" spans="1:39" s="437" customFormat="1" ht="15" thickBot="1" x14ac:dyDescent="0.3">
      <c r="A95" s="473"/>
      <c r="B95" s="484" t="s">
        <v>455</v>
      </c>
      <c r="C95" s="256" t="s">
        <v>101</v>
      </c>
      <c r="D95" s="39" t="s">
        <v>104</v>
      </c>
      <c r="E95" s="39" t="s">
        <v>101</v>
      </c>
      <c r="F95" s="39" t="s">
        <v>104</v>
      </c>
      <c r="G95" s="39" t="s">
        <v>101</v>
      </c>
      <c r="H95" s="39" t="s">
        <v>104</v>
      </c>
      <c r="I95" s="39" t="s">
        <v>101</v>
      </c>
      <c r="J95" s="39" t="s">
        <v>104</v>
      </c>
      <c r="K95" s="39" t="s">
        <v>101</v>
      </c>
      <c r="L95" s="39" t="s">
        <v>104</v>
      </c>
      <c r="M95" s="39" t="s">
        <v>101</v>
      </c>
      <c r="N95" s="39" t="s">
        <v>104</v>
      </c>
      <c r="O95" s="39" t="s">
        <v>101</v>
      </c>
      <c r="P95" s="39" t="s">
        <v>104</v>
      </c>
      <c r="Q95" s="39" t="s">
        <v>101</v>
      </c>
      <c r="R95" s="39" t="s">
        <v>104</v>
      </c>
      <c r="S95" s="39" t="s">
        <v>101</v>
      </c>
      <c r="T95" s="39" t="s">
        <v>104</v>
      </c>
      <c r="U95" s="39" t="s">
        <v>101</v>
      </c>
      <c r="V95" s="39" t="s">
        <v>104</v>
      </c>
      <c r="W95" s="39" t="s">
        <v>101</v>
      </c>
      <c r="X95" s="39" t="s">
        <v>104</v>
      </c>
      <c r="Y95" s="39" t="s">
        <v>101</v>
      </c>
      <c r="Z95" s="39" t="s">
        <v>104</v>
      </c>
      <c r="AA95" s="39" t="s">
        <v>101</v>
      </c>
      <c r="AB95" s="39" t="s">
        <v>104</v>
      </c>
      <c r="AC95" s="39" t="s">
        <v>101</v>
      </c>
      <c r="AD95" s="39" t="s">
        <v>104</v>
      </c>
      <c r="AE95" s="39" t="s">
        <v>101</v>
      </c>
      <c r="AF95" s="62" t="s">
        <v>104</v>
      </c>
      <c r="AH95" s="509">
        <f t="shared" ref="AH95:AH96" si="5">COUNTIF(C95:AF95,"Oui")</f>
        <v>15</v>
      </c>
      <c r="AI95" s="509">
        <f t="shared" ref="AI95:AI96" si="6">COUNTIF(C95:AF95,"Non")</f>
        <v>15</v>
      </c>
      <c r="AJ95" s="509">
        <f t="shared" ref="AJ95:AJ96" si="7">SUM(AH95:AI95)</f>
        <v>30</v>
      </c>
      <c r="AL95" s="510">
        <f t="shared" si="0"/>
        <v>0.5</v>
      </c>
      <c r="AM95" s="510">
        <f t="shared" si="1"/>
        <v>0.5</v>
      </c>
    </row>
    <row r="96" spans="1:39" s="437" customFormat="1" ht="15" thickBot="1" x14ac:dyDescent="0.3">
      <c r="A96" s="473"/>
      <c r="B96" s="478" t="s">
        <v>456</v>
      </c>
      <c r="C96" s="25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8"/>
      <c r="AH96" s="509">
        <f t="shared" si="5"/>
        <v>0</v>
      </c>
      <c r="AI96" s="509">
        <f t="shared" si="6"/>
        <v>0</v>
      </c>
      <c r="AJ96" s="509">
        <f t="shared" si="7"/>
        <v>0</v>
      </c>
      <c r="AL96" s="510" t="e">
        <f t="shared" si="0"/>
        <v>#DIV/0!</v>
      </c>
      <c r="AM96" s="510" t="e">
        <f t="shared" si="1"/>
        <v>#DIV/0!</v>
      </c>
    </row>
    <row r="97" spans="1:39" s="437" customFormat="1" ht="15" thickBot="1" x14ac:dyDescent="0.3">
      <c r="A97" s="473" t="s">
        <v>91</v>
      </c>
      <c r="B97" s="485" t="s">
        <v>92</v>
      </c>
      <c r="C97" s="252">
        <f>IFERROR(COUNTIF(C$70:C$78,"Oui")/(ROWS(C$70:C$78)-COUNTIF(C$70:C$78,"NA")),"")</f>
        <v>0</v>
      </c>
      <c r="D97" s="69">
        <f t="shared" ref="D97:AF97" si="8">IFERROR(COUNTIF(D$70:D$78,"Oui")/(ROWS(D$70:D$78)-COUNTIF(D$70:D$78,"NA")),"")</f>
        <v>0</v>
      </c>
      <c r="E97" s="69">
        <f t="shared" si="8"/>
        <v>0</v>
      </c>
      <c r="F97" s="69">
        <f t="shared" si="8"/>
        <v>0</v>
      </c>
      <c r="G97" s="69">
        <f t="shared" si="8"/>
        <v>0</v>
      </c>
      <c r="H97" s="69">
        <f t="shared" si="8"/>
        <v>0</v>
      </c>
      <c r="I97" s="69">
        <f t="shared" si="8"/>
        <v>0</v>
      </c>
      <c r="J97" s="69">
        <f t="shared" si="8"/>
        <v>0</v>
      </c>
      <c r="K97" s="69">
        <f t="shared" si="8"/>
        <v>0</v>
      </c>
      <c r="L97" s="69">
        <f t="shared" si="8"/>
        <v>0</v>
      </c>
      <c r="M97" s="69">
        <f t="shared" si="8"/>
        <v>0</v>
      </c>
      <c r="N97" s="69">
        <f t="shared" si="8"/>
        <v>0</v>
      </c>
      <c r="O97" s="69">
        <f t="shared" si="8"/>
        <v>0</v>
      </c>
      <c r="P97" s="69">
        <f t="shared" si="8"/>
        <v>0</v>
      </c>
      <c r="Q97" s="69">
        <f t="shared" si="8"/>
        <v>0</v>
      </c>
      <c r="R97" s="69">
        <f t="shared" si="8"/>
        <v>0</v>
      </c>
      <c r="S97" s="69">
        <f t="shared" si="8"/>
        <v>0</v>
      </c>
      <c r="T97" s="69">
        <f t="shared" si="8"/>
        <v>0</v>
      </c>
      <c r="U97" s="69">
        <f t="shared" si="8"/>
        <v>0</v>
      </c>
      <c r="V97" s="69">
        <f t="shared" si="8"/>
        <v>0</v>
      </c>
      <c r="W97" s="69">
        <f t="shared" si="8"/>
        <v>0</v>
      </c>
      <c r="X97" s="69">
        <f t="shared" si="8"/>
        <v>0</v>
      </c>
      <c r="Y97" s="69">
        <f t="shared" si="8"/>
        <v>0</v>
      </c>
      <c r="Z97" s="69">
        <f t="shared" si="8"/>
        <v>0</v>
      </c>
      <c r="AA97" s="69">
        <f t="shared" si="8"/>
        <v>0</v>
      </c>
      <c r="AB97" s="69">
        <f t="shared" si="8"/>
        <v>0</v>
      </c>
      <c r="AC97" s="69">
        <f t="shared" si="8"/>
        <v>0</v>
      </c>
      <c r="AD97" s="69">
        <f t="shared" si="8"/>
        <v>0</v>
      </c>
      <c r="AE97" s="69">
        <f t="shared" si="8"/>
        <v>0</v>
      </c>
      <c r="AF97" s="70">
        <f t="shared" si="8"/>
        <v>0</v>
      </c>
      <c r="AH97" s="509">
        <f>SUM(AH70:AH78)</f>
        <v>0</v>
      </c>
      <c r="AI97" s="509">
        <f>SUM(AI70:AI78)</f>
        <v>0</v>
      </c>
      <c r="AJ97" s="509">
        <f t="shared" ref="AJ97:AJ100" si="9">AH97+AI97</f>
        <v>0</v>
      </c>
      <c r="AL97" s="510" t="e">
        <f t="shared" si="0"/>
        <v>#DIV/0!</v>
      </c>
      <c r="AM97" s="510" t="e">
        <f t="shared" si="1"/>
        <v>#DIV/0!</v>
      </c>
    </row>
    <row r="98" spans="1:39" s="437" customFormat="1" ht="15" thickBot="1" x14ac:dyDescent="0.3">
      <c r="A98" s="473"/>
      <c r="B98" s="486" t="s">
        <v>93</v>
      </c>
      <c r="C98" s="253">
        <f>IFERROR(COUNTIF(C$79:C$84,"Oui")/(ROWS(C$79:C$84)),"")</f>
        <v>0</v>
      </c>
      <c r="D98" s="44">
        <f t="shared" ref="D98:AF98" si="10">IFERROR(COUNTIF(D$79:D$84,"Oui")/(ROWS(D$79:D$84)),"")</f>
        <v>0</v>
      </c>
      <c r="E98" s="44">
        <f t="shared" si="10"/>
        <v>0</v>
      </c>
      <c r="F98" s="44">
        <f t="shared" si="10"/>
        <v>0</v>
      </c>
      <c r="G98" s="44">
        <f t="shared" si="10"/>
        <v>0</v>
      </c>
      <c r="H98" s="44">
        <f t="shared" si="10"/>
        <v>0</v>
      </c>
      <c r="I98" s="44">
        <f t="shared" si="10"/>
        <v>0</v>
      </c>
      <c r="J98" s="44">
        <f t="shared" si="10"/>
        <v>0</v>
      </c>
      <c r="K98" s="44">
        <f t="shared" si="10"/>
        <v>0</v>
      </c>
      <c r="L98" s="44">
        <f t="shared" si="10"/>
        <v>0</v>
      </c>
      <c r="M98" s="44">
        <f t="shared" si="10"/>
        <v>0</v>
      </c>
      <c r="N98" s="44">
        <f t="shared" si="10"/>
        <v>0</v>
      </c>
      <c r="O98" s="44">
        <f t="shared" si="10"/>
        <v>0</v>
      </c>
      <c r="P98" s="44">
        <f t="shared" si="10"/>
        <v>0</v>
      </c>
      <c r="Q98" s="44">
        <f t="shared" si="10"/>
        <v>0</v>
      </c>
      <c r="R98" s="44">
        <f t="shared" si="10"/>
        <v>0</v>
      </c>
      <c r="S98" s="44">
        <f t="shared" si="10"/>
        <v>0</v>
      </c>
      <c r="T98" s="44">
        <f t="shared" si="10"/>
        <v>0</v>
      </c>
      <c r="U98" s="44">
        <f t="shared" si="10"/>
        <v>0</v>
      </c>
      <c r="V98" s="44">
        <f t="shared" si="10"/>
        <v>0</v>
      </c>
      <c r="W98" s="44">
        <f t="shared" si="10"/>
        <v>0</v>
      </c>
      <c r="X98" s="44">
        <f t="shared" si="10"/>
        <v>0</v>
      </c>
      <c r="Y98" s="44">
        <f t="shared" si="10"/>
        <v>0</v>
      </c>
      <c r="Z98" s="44">
        <f t="shared" si="10"/>
        <v>0</v>
      </c>
      <c r="AA98" s="44">
        <f t="shared" si="10"/>
        <v>0</v>
      </c>
      <c r="AB98" s="44">
        <f t="shared" si="10"/>
        <v>0</v>
      </c>
      <c r="AC98" s="44">
        <f t="shared" si="10"/>
        <v>0</v>
      </c>
      <c r="AD98" s="44">
        <f t="shared" si="10"/>
        <v>0</v>
      </c>
      <c r="AE98" s="44">
        <f t="shared" si="10"/>
        <v>0</v>
      </c>
      <c r="AF98" s="71">
        <f t="shared" si="10"/>
        <v>0</v>
      </c>
      <c r="AH98" s="509">
        <f>SUM(AH79:AH84)</f>
        <v>0</v>
      </c>
      <c r="AI98" s="509">
        <f>SUM(AI79:AI84)</f>
        <v>0</v>
      </c>
      <c r="AJ98" s="509">
        <f t="shared" si="9"/>
        <v>0</v>
      </c>
      <c r="AL98" s="510" t="e">
        <f t="shared" si="0"/>
        <v>#DIV/0!</v>
      </c>
      <c r="AM98" s="510" t="e">
        <f t="shared" si="1"/>
        <v>#DIV/0!</v>
      </c>
    </row>
    <row r="99" spans="1:39" s="437" customFormat="1" ht="15" thickBot="1" x14ac:dyDescent="0.3">
      <c r="A99" s="473"/>
      <c r="B99" s="487" t="s">
        <v>94</v>
      </c>
      <c r="C99" s="253">
        <f>IFERROR(COUNTIF(C$70:C$84,"Oui")/(ROWS(C$70:C$84)-COUNTIF(C$70:C$84,"NA")),"")</f>
        <v>0</v>
      </c>
      <c r="D99" s="44">
        <f t="shared" ref="D99:AF99" si="11">IFERROR(COUNTIF(D$70:D$84,"Oui")/(ROWS(D$70:D$84)-COUNTIF(D$70:D$84,"NA")),"")</f>
        <v>0</v>
      </c>
      <c r="E99" s="44">
        <f t="shared" si="11"/>
        <v>0</v>
      </c>
      <c r="F99" s="44">
        <f t="shared" si="11"/>
        <v>0</v>
      </c>
      <c r="G99" s="44">
        <f t="shared" si="11"/>
        <v>0</v>
      </c>
      <c r="H99" s="44">
        <f t="shared" si="11"/>
        <v>0</v>
      </c>
      <c r="I99" s="44">
        <f t="shared" si="11"/>
        <v>0</v>
      </c>
      <c r="J99" s="44">
        <f t="shared" si="11"/>
        <v>0</v>
      </c>
      <c r="K99" s="44">
        <f t="shared" si="11"/>
        <v>0</v>
      </c>
      <c r="L99" s="44">
        <f t="shared" si="11"/>
        <v>0</v>
      </c>
      <c r="M99" s="44">
        <f t="shared" si="11"/>
        <v>0</v>
      </c>
      <c r="N99" s="44">
        <f t="shared" si="11"/>
        <v>0</v>
      </c>
      <c r="O99" s="44">
        <f t="shared" si="11"/>
        <v>0</v>
      </c>
      <c r="P99" s="44">
        <f t="shared" si="11"/>
        <v>0</v>
      </c>
      <c r="Q99" s="44">
        <f t="shared" si="11"/>
        <v>0</v>
      </c>
      <c r="R99" s="44">
        <f t="shared" si="11"/>
        <v>0</v>
      </c>
      <c r="S99" s="44">
        <f t="shared" si="11"/>
        <v>0</v>
      </c>
      <c r="T99" s="44">
        <f t="shared" si="11"/>
        <v>0</v>
      </c>
      <c r="U99" s="44">
        <f t="shared" si="11"/>
        <v>0</v>
      </c>
      <c r="V99" s="44">
        <f t="shared" si="11"/>
        <v>0</v>
      </c>
      <c r="W99" s="44">
        <f t="shared" si="11"/>
        <v>0</v>
      </c>
      <c r="X99" s="44">
        <f t="shared" si="11"/>
        <v>0</v>
      </c>
      <c r="Y99" s="44">
        <f t="shared" si="11"/>
        <v>0</v>
      </c>
      <c r="Z99" s="44">
        <f t="shared" si="11"/>
        <v>0</v>
      </c>
      <c r="AA99" s="44">
        <f t="shared" si="11"/>
        <v>0</v>
      </c>
      <c r="AB99" s="44">
        <f t="shared" si="11"/>
        <v>0</v>
      </c>
      <c r="AC99" s="44">
        <f t="shared" si="11"/>
        <v>0</v>
      </c>
      <c r="AD99" s="44">
        <f t="shared" si="11"/>
        <v>0</v>
      </c>
      <c r="AE99" s="44">
        <f t="shared" si="11"/>
        <v>0</v>
      </c>
      <c r="AF99" s="71">
        <f t="shared" si="11"/>
        <v>0</v>
      </c>
      <c r="AH99" s="509">
        <f>SUM(AH70:AH84)</f>
        <v>0</v>
      </c>
      <c r="AI99" s="509">
        <f>SUM(AI70:AI84)</f>
        <v>0</v>
      </c>
      <c r="AJ99" s="509">
        <f t="shared" si="9"/>
        <v>0</v>
      </c>
      <c r="AL99" s="510" t="e">
        <f t="shared" si="0"/>
        <v>#DIV/0!</v>
      </c>
      <c r="AM99" s="510" t="e">
        <f t="shared" si="1"/>
        <v>#DIV/0!</v>
      </c>
    </row>
    <row r="100" spans="1:39" s="437" customFormat="1" ht="15" thickBot="1" x14ac:dyDescent="0.3">
      <c r="A100" s="473"/>
      <c r="B100" s="486" t="s">
        <v>95</v>
      </c>
      <c r="C100" s="253">
        <f>IFERROR(COUNTIF(C$85:C$93,"Oui")/(ROWS(C$85:C$93)-COUNTIF(C$85:C$93,"NA")),"")</f>
        <v>0.1111111111111111</v>
      </c>
      <c r="D100" s="44">
        <f t="shared" ref="D100:AF100" si="12">IFERROR(COUNTIF(D$85:D$93,"Oui")/(ROWS(D$85:D$93)-COUNTIF(D$85:D$93,"NA")),"")</f>
        <v>0.1111111111111111</v>
      </c>
      <c r="E100" s="44">
        <f t="shared" si="12"/>
        <v>0.1111111111111111</v>
      </c>
      <c r="F100" s="44">
        <f t="shared" si="12"/>
        <v>0</v>
      </c>
      <c r="G100" s="44">
        <f t="shared" si="12"/>
        <v>0.1111111111111111</v>
      </c>
      <c r="H100" s="44">
        <f t="shared" si="12"/>
        <v>0</v>
      </c>
      <c r="I100" s="44">
        <f t="shared" si="12"/>
        <v>0.1111111111111111</v>
      </c>
      <c r="J100" s="44">
        <f t="shared" si="12"/>
        <v>0</v>
      </c>
      <c r="K100" s="44">
        <f t="shared" si="12"/>
        <v>0.1111111111111111</v>
      </c>
      <c r="L100" s="44">
        <f t="shared" si="12"/>
        <v>0</v>
      </c>
      <c r="M100" s="44">
        <f t="shared" si="12"/>
        <v>0.1111111111111111</v>
      </c>
      <c r="N100" s="44">
        <f t="shared" si="12"/>
        <v>0</v>
      </c>
      <c r="O100" s="44">
        <f t="shared" si="12"/>
        <v>0.1111111111111111</v>
      </c>
      <c r="P100" s="44">
        <f t="shared" si="12"/>
        <v>0</v>
      </c>
      <c r="Q100" s="44">
        <f t="shared" si="12"/>
        <v>0.1111111111111111</v>
      </c>
      <c r="R100" s="44">
        <f t="shared" si="12"/>
        <v>0</v>
      </c>
      <c r="S100" s="44">
        <f t="shared" si="12"/>
        <v>0.1111111111111111</v>
      </c>
      <c r="T100" s="44">
        <f t="shared" si="12"/>
        <v>0</v>
      </c>
      <c r="U100" s="44">
        <f t="shared" si="12"/>
        <v>0.1111111111111111</v>
      </c>
      <c r="V100" s="44">
        <f t="shared" si="12"/>
        <v>0</v>
      </c>
      <c r="W100" s="44">
        <f t="shared" si="12"/>
        <v>0.1111111111111111</v>
      </c>
      <c r="X100" s="44">
        <f t="shared" si="12"/>
        <v>0</v>
      </c>
      <c r="Y100" s="44">
        <f t="shared" si="12"/>
        <v>0.1111111111111111</v>
      </c>
      <c r="Z100" s="44">
        <f t="shared" si="12"/>
        <v>0</v>
      </c>
      <c r="AA100" s="44">
        <f t="shared" si="12"/>
        <v>0.1111111111111111</v>
      </c>
      <c r="AB100" s="44">
        <f t="shared" si="12"/>
        <v>0</v>
      </c>
      <c r="AC100" s="44">
        <f t="shared" si="12"/>
        <v>0.1111111111111111</v>
      </c>
      <c r="AD100" s="44">
        <f t="shared" si="12"/>
        <v>0</v>
      </c>
      <c r="AE100" s="44">
        <f t="shared" si="12"/>
        <v>0.1111111111111111</v>
      </c>
      <c r="AF100" s="71">
        <f t="shared" si="12"/>
        <v>0</v>
      </c>
      <c r="AH100" s="509">
        <f>SUM(AH85:AH93)</f>
        <v>16</v>
      </c>
      <c r="AI100" s="509">
        <f>SUM(AI85:AI93)</f>
        <v>18</v>
      </c>
      <c r="AJ100" s="509">
        <f t="shared" si="9"/>
        <v>34</v>
      </c>
      <c r="AL100" s="510">
        <f t="shared" si="0"/>
        <v>0.47058823529411764</v>
      </c>
      <c r="AM100" s="510">
        <f t="shared" si="1"/>
        <v>0.52941176470588236</v>
      </c>
    </row>
    <row r="101" spans="1:39" s="437" customFormat="1" ht="15" thickBot="1" x14ac:dyDescent="0.3">
      <c r="A101" s="473"/>
      <c r="B101" s="487" t="s">
        <v>96</v>
      </c>
      <c r="C101" s="253">
        <f>IF(C$94="Non",0,IF(C$94="Oui",IFERROR(COUNTIF(C$85:C$93,"Oui")/(ROWS(C$85:C$93)-COUNTIF(C$85:C$93,"NA")),""),""))</f>
        <v>0.1111111111111111</v>
      </c>
      <c r="D101" s="44">
        <f>IF(D$94="Non",0,IF(D$94="Oui",IFERROR(COUNTIF(D$85:D$93,"Oui")/(ROWS(D$85:D$93)-COUNTIF(D$85:D$93,"NA")),""),""))</f>
        <v>0</v>
      </c>
      <c r="E101" s="44">
        <f t="shared" ref="D101:AF101" si="13">IF(E$94="Non",0,IF(E$94="Oui",IFERROR(COUNTIF(E$85:E$93,"Oui")/(ROWS(E$85:E$93)-COUNTIF(E$85:E$93,"NA")),""),""))</f>
        <v>0.1111111111111111</v>
      </c>
      <c r="F101" s="44">
        <f t="shared" si="13"/>
        <v>0</v>
      </c>
      <c r="G101" s="44">
        <f t="shared" si="13"/>
        <v>0.1111111111111111</v>
      </c>
      <c r="H101" s="44">
        <f t="shared" si="13"/>
        <v>0</v>
      </c>
      <c r="I101" s="44">
        <f t="shared" si="13"/>
        <v>0.1111111111111111</v>
      </c>
      <c r="J101" s="44">
        <f t="shared" si="13"/>
        <v>0</v>
      </c>
      <c r="K101" s="44">
        <f t="shared" si="13"/>
        <v>0.1111111111111111</v>
      </c>
      <c r="L101" s="44">
        <f t="shared" si="13"/>
        <v>0</v>
      </c>
      <c r="M101" s="44">
        <f t="shared" si="13"/>
        <v>0.1111111111111111</v>
      </c>
      <c r="N101" s="44">
        <f t="shared" si="13"/>
        <v>0</v>
      </c>
      <c r="O101" s="44">
        <f t="shared" si="13"/>
        <v>0.1111111111111111</v>
      </c>
      <c r="P101" s="44">
        <f t="shared" si="13"/>
        <v>0</v>
      </c>
      <c r="Q101" s="44">
        <f t="shared" si="13"/>
        <v>0.1111111111111111</v>
      </c>
      <c r="R101" s="44">
        <f t="shared" si="13"/>
        <v>0</v>
      </c>
      <c r="S101" s="44">
        <f t="shared" si="13"/>
        <v>0.1111111111111111</v>
      </c>
      <c r="T101" s="44">
        <f t="shared" si="13"/>
        <v>0</v>
      </c>
      <c r="U101" s="44">
        <f t="shared" si="13"/>
        <v>0.1111111111111111</v>
      </c>
      <c r="V101" s="44">
        <f t="shared" si="13"/>
        <v>0</v>
      </c>
      <c r="W101" s="44">
        <f t="shared" si="13"/>
        <v>0.1111111111111111</v>
      </c>
      <c r="X101" s="44">
        <f t="shared" si="13"/>
        <v>0</v>
      </c>
      <c r="Y101" s="44">
        <f t="shared" si="13"/>
        <v>0.1111111111111111</v>
      </c>
      <c r="Z101" s="44">
        <f t="shared" si="13"/>
        <v>0</v>
      </c>
      <c r="AA101" s="44">
        <f t="shared" si="13"/>
        <v>0.1111111111111111</v>
      </c>
      <c r="AB101" s="44">
        <f t="shared" si="13"/>
        <v>0</v>
      </c>
      <c r="AC101" s="44">
        <f t="shared" si="13"/>
        <v>0.1111111111111111</v>
      </c>
      <c r="AD101" s="44">
        <f t="shared" si="13"/>
        <v>0</v>
      </c>
      <c r="AE101" s="44">
        <f t="shared" si="13"/>
        <v>0.1111111111111111</v>
      </c>
      <c r="AF101" s="71">
        <f t="shared" si="13"/>
        <v>0</v>
      </c>
      <c r="AH101" s="509" t="s">
        <v>97</v>
      </c>
      <c r="AI101" s="509" t="s">
        <v>97</v>
      </c>
      <c r="AJ101" s="509" t="s">
        <v>97</v>
      </c>
      <c r="AL101" s="510">
        <f>AVERAGE(C101:AF101)</f>
        <v>5.5555555555555573E-2</v>
      </c>
      <c r="AM101" s="510">
        <f>1-AL101</f>
        <v>0.94444444444444442</v>
      </c>
    </row>
    <row r="102" spans="1:39" s="489" customFormat="1" ht="15" thickBot="1" x14ac:dyDescent="0.3">
      <c r="A102" s="473"/>
      <c r="B102" s="488" t="s">
        <v>98</v>
      </c>
      <c r="C102" s="254">
        <f>IFERROR(COUNTIF(C$70:C$94,"Oui")/(ROWS(C$70:C$94)-COUNTIF(C$70:C$94,"NA")),"")</f>
        <v>0.08</v>
      </c>
      <c r="D102" s="72">
        <f t="shared" ref="D102:AF102" si="14">IFERROR(COUNTIF(D$70:D$94,"Oui")/(ROWS(D$70:D$94)-COUNTIF(D$70:D$94,"NA")),"")</f>
        <v>0.04</v>
      </c>
      <c r="E102" s="72">
        <f t="shared" si="14"/>
        <v>0.08</v>
      </c>
      <c r="F102" s="72">
        <f t="shared" si="14"/>
        <v>0</v>
      </c>
      <c r="G102" s="72">
        <f t="shared" si="14"/>
        <v>0.08</v>
      </c>
      <c r="H102" s="72">
        <f t="shared" si="14"/>
        <v>0</v>
      </c>
      <c r="I102" s="72">
        <f t="shared" si="14"/>
        <v>0.08</v>
      </c>
      <c r="J102" s="72">
        <f t="shared" si="14"/>
        <v>0</v>
      </c>
      <c r="K102" s="72">
        <f t="shared" si="14"/>
        <v>0.08</v>
      </c>
      <c r="L102" s="72">
        <f t="shared" si="14"/>
        <v>0</v>
      </c>
      <c r="M102" s="72">
        <f t="shared" si="14"/>
        <v>0.08</v>
      </c>
      <c r="N102" s="72">
        <f t="shared" si="14"/>
        <v>0</v>
      </c>
      <c r="O102" s="72">
        <f t="shared" si="14"/>
        <v>0.08</v>
      </c>
      <c r="P102" s="72">
        <f t="shared" si="14"/>
        <v>0</v>
      </c>
      <c r="Q102" s="72">
        <f t="shared" si="14"/>
        <v>0.08</v>
      </c>
      <c r="R102" s="72">
        <f t="shared" si="14"/>
        <v>0</v>
      </c>
      <c r="S102" s="72">
        <f t="shared" si="14"/>
        <v>0.08</v>
      </c>
      <c r="T102" s="72">
        <f t="shared" si="14"/>
        <v>0</v>
      </c>
      <c r="U102" s="72">
        <f t="shared" si="14"/>
        <v>0.08</v>
      </c>
      <c r="V102" s="72">
        <f t="shared" si="14"/>
        <v>0</v>
      </c>
      <c r="W102" s="72">
        <f t="shared" si="14"/>
        <v>0.08</v>
      </c>
      <c r="X102" s="72">
        <f t="shared" si="14"/>
        <v>0</v>
      </c>
      <c r="Y102" s="72">
        <f t="shared" si="14"/>
        <v>0.08</v>
      </c>
      <c r="Z102" s="72">
        <f t="shared" si="14"/>
        <v>0</v>
      </c>
      <c r="AA102" s="72">
        <f t="shared" si="14"/>
        <v>0.08</v>
      </c>
      <c r="AB102" s="72">
        <f t="shared" si="14"/>
        <v>0</v>
      </c>
      <c r="AC102" s="72">
        <f t="shared" si="14"/>
        <v>0.08</v>
      </c>
      <c r="AD102" s="72">
        <f t="shared" si="14"/>
        <v>0</v>
      </c>
      <c r="AE102" s="72">
        <f t="shared" si="14"/>
        <v>0.08</v>
      </c>
      <c r="AF102" s="73">
        <f t="shared" si="14"/>
        <v>0</v>
      </c>
      <c r="AH102" s="509">
        <f>SUM(AH70:AH94)</f>
        <v>31</v>
      </c>
      <c r="AI102" s="509">
        <f>SUM(AI70:AI94)</f>
        <v>33</v>
      </c>
      <c r="AJ102" s="509">
        <f>SUM(AJ70:AJ94)</f>
        <v>64</v>
      </c>
      <c r="AL102" s="510">
        <f>AVERAGE(C102:AF102)</f>
        <v>4.1333333333333333E-2</v>
      </c>
      <c r="AM102" s="510">
        <f>1-AL102</f>
        <v>0.95866666666666667</v>
      </c>
    </row>
    <row r="103" spans="1:39" ht="40.5" x14ac:dyDescent="0.25">
      <c r="A103" s="490" t="s">
        <v>99</v>
      </c>
      <c r="B103" s="490" t="s">
        <v>100</v>
      </c>
      <c r="C103" s="491"/>
      <c r="D103" s="491"/>
      <c r="E103" s="491"/>
      <c r="F103" s="491"/>
      <c r="G103" s="491"/>
      <c r="H103" s="491"/>
      <c r="I103" s="491"/>
      <c r="J103" s="491"/>
      <c r="K103" s="491"/>
      <c r="L103" s="491"/>
      <c r="M103" s="491"/>
      <c r="N103" s="491"/>
      <c r="O103" s="491"/>
      <c r="P103" s="491"/>
      <c r="Q103" s="491"/>
      <c r="R103" s="491"/>
      <c r="S103" s="491"/>
      <c r="T103" s="491"/>
      <c r="U103" s="491"/>
      <c r="V103" s="491"/>
      <c r="W103" s="491"/>
      <c r="X103" s="491"/>
      <c r="Y103" s="491"/>
      <c r="Z103" s="491"/>
      <c r="AA103" s="491"/>
      <c r="AB103" s="491"/>
      <c r="AC103" s="491"/>
      <c r="AD103" s="491"/>
      <c r="AE103" s="491"/>
      <c r="AF103" s="491"/>
      <c r="AH103" s="491"/>
      <c r="AI103" s="491"/>
      <c r="AJ103" s="491"/>
      <c r="AL103" s="491"/>
      <c r="AM103" s="491"/>
    </row>
  </sheetData>
  <sheetProtection algorithmName="SHA-512" hashValue="q1l2iQfWcL6Zp+PaHUjEZxCSExOGvXWVsfBRBYDCILp6OhqoL/322n65rOL7eLLQSnetWzpcDzGBgitYYL1P3A==" saltValue="A3gnPhmfXWITdnF2glTuIA==" spinCount="100000" sheet="1" objects="1" scenarios="1" formatCells="0" formatColumns="0" formatRows="0" autoFilter="0" pivotTables="0"/>
  <mergeCells count="22">
    <mergeCell ref="AH68:AJ68"/>
    <mergeCell ref="AL68:AM68"/>
    <mergeCell ref="AH66:AM66"/>
    <mergeCell ref="A17:A22"/>
    <mergeCell ref="A23:A47"/>
    <mergeCell ref="A13:A16"/>
    <mergeCell ref="A97:A102"/>
    <mergeCell ref="A70:A78"/>
    <mergeCell ref="A79:A84"/>
    <mergeCell ref="A85:A93"/>
    <mergeCell ref="A94:A96"/>
    <mergeCell ref="A69:AF69"/>
    <mergeCell ref="A64:A68"/>
    <mergeCell ref="A48:A63"/>
    <mergeCell ref="A5:B5"/>
    <mergeCell ref="A9:B9"/>
    <mergeCell ref="A11:B11"/>
    <mergeCell ref="A8:B8"/>
    <mergeCell ref="A12:AF12"/>
    <mergeCell ref="A6:B6"/>
    <mergeCell ref="A7:B7"/>
    <mergeCell ref="A10:B10"/>
  </mergeCells>
  <phoneticPr fontId="27" type="noConversion"/>
  <conditionalFormatting sqref="C24:AF68">
    <cfRule type="cellIs" dxfId="16" priority="5" operator="equal">
      <formula>"non"</formula>
    </cfRule>
  </conditionalFormatting>
  <conditionalFormatting sqref="C18:AG23 AG27:AG68 AG13:AG17">
    <cfRule type="cellIs" dxfId="15" priority="44" operator="equal">
      <formula>"non"</formula>
    </cfRule>
  </conditionalFormatting>
  <conditionalFormatting sqref="C70:AG102">
    <cfRule type="cellIs" dxfId="14" priority="14" operator="equal">
      <formula>"non"</formula>
    </cfRule>
  </conditionalFormatting>
  <conditionalFormatting sqref="C13:AF15">
    <cfRule type="cellIs" dxfId="13" priority="2" operator="equal">
      <formula>"non"</formula>
    </cfRule>
  </conditionalFormatting>
  <conditionalFormatting sqref="C16:AF17">
    <cfRule type="cellIs" dxfId="12" priority="1" operator="equal">
      <formula>"non"</formula>
    </cfRule>
  </conditionalFormatting>
  <dataValidations count="10">
    <dataValidation type="list" allowBlank="1" showInputMessage="1" showErrorMessage="1" sqref="C70:AG70 AG67 C80:AG84 C72:AG78 AG46 AG16:AG19 C86:AG90 AG65 C94:AG94" xr:uid="{00000000-0002-0000-0200-000000000000}">
      <formula1>"Oui,Non"</formula1>
    </dataValidation>
    <dataValidation type="list" allowBlank="1" showInputMessage="1" showErrorMessage="1" sqref="C71:AG71 C95:AG96 C85:AG85 C79:AG79 C91:AG93" xr:uid="{00000000-0002-0000-0200-000001000000}">
      <formula1>"Oui,Non,NA"</formula1>
    </dataValidation>
    <dataValidation type="list" allowBlank="1" showInputMessage="1" showErrorMessage="1" sqref="AG13" xr:uid="{00000000-0002-0000-0200-000003000000}">
      <formula1>"Oui,Non,Ne se prononce pas"</formula1>
    </dataValidation>
    <dataValidation type="list" allowBlank="1" showInputMessage="1" showErrorMessage="1" sqref="AG20:AG21" xr:uid="{00000000-0002-0000-0200-000004000000}">
      <formula1>"[0 - 1 mois[ , [1 - 3 mois[ , [3 - 6 mois[ , [6 mois - 1an [ , [1an et plus [ , Je ne sais plus"</formula1>
    </dataValidation>
    <dataValidation type="list" allowBlank="1" showInputMessage="1" showErrorMessage="1" sqref="AG29:AG35 AG37:AG45" xr:uid="{00000000-0002-0000-0200-000007000000}">
      <formula1>"Oui,Non,Je ne me souviens plus"</formula1>
    </dataValidation>
    <dataValidation type="list" allowBlank="1" showInputMessage="1" showErrorMessage="1" sqref="AG47:AG49 C47:AF47" xr:uid="{00000000-0002-0000-0200-000008000000}">
      <formula1>"Oui,Non,Je ne sais plus"</formula1>
    </dataValidation>
    <dataValidation type="list" allowBlank="1" showInputMessage="1" showErrorMessage="1" sqref="AG56:AG63" xr:uid="{00000000-0002-0000-0200-00000A000000}">
      <formula1>"Oui,Non,Je ne sais pas"</formula1>
    </dataValidation>
    <dataValidation type="list" allowBlank="1" showInputMessage="1" showErrorMessage="1" sqref="AG64" xr:uid="{00000000-0002-0000-0200-00000B000000}">
      <formula1>"Très satisfait(e),Satisfait(e),Peu satisfait(e),Pas du tout satisfait(e)"</formula1>
    </dataValidation>
    <dataValidation type="list" allowBlank="1" showInputMessage="1" showErrorMessage="1" sqref="AG14:AG15" xr:uid="{00000000-0002-0000-0200-000005000000}">
      <formula1>"&lt;18ans,18-39ans,40-64ans,65-74ans,≥75ans"</formula1>
    </dataValidation>
    <dataValidation type="list" allowBlank="1" showInputMessage="1" showErrorMessage="1" sqref="AG50:AG55" xr:uid="{00000000-0002-0000-0200-000009000000}">
      <formula1>"Oui,Non,Je ne sais pas / pas vérifié"</formula1>
    </dataValidation>
  </dataValidations>
  <pageMargins left="0.7" right="0.7" top="0.75" bottom="0.75" header="0.3" footer="0.3"/>
  <pageSetup paperSize="9" orientation="landscape" r:id="rId1"/>
  <headerFooter>
    <oddFooter>&amp;C&amp;"Segoe UI Emoji,Normal"&amp;10Audit traçabilité sanitaire des DMI - OMEDIT Pays de la Loire - V3_Juin 2023</oddFooter>
  </headerFooter>
  <extLst>
    <ext xmlns:x14="http://schemas.microsoft.com/office/spreadsheetml/2009/9/main" uri="{CCE6A557-97BC-4b89-ADB6-D9C93CAAB3DF}">
      <x14:dataValidations xmlns:xm="http://schemas.microsoft.com/office/excel/2006/main" count="14">
        <x14:dataValidation type="list" allowBlank="1" showInputMessage="1" showErrorMessage="1" xr:uid="{E31A824C-FEC7-4EB9-A637-FF11F8F13C3A}">
          <x14:formula1>
            <xm:f>'Menus déroulants'!$E$2:$E$3</xm:f>
          </x14:formula1>
          <xm:sqref>C6:AF6</xm:sqref>
        </x14:dataValidation>
        <x14:dataValidation type="list" allowBlank="1" showInputMessage="1" showErrorMessage="1" xr:uid="{F07E4879-1401-43DB-99E0-629BA6FE5722}">
          <x14:formula1>
            <xm:f>'Menus déroulants'!$F$2:$F$8</xm:f>
          </x14:formula1>
          <xm:sqref>C7:AF7</xm:sqref>
        </x14:dataValidation>
        <x14:dataValidation type="list" allowBlank="1" showInputMessage="1" showErrorMessage="1" xr:uid="{F9B2CDA1-D47C-4D3E-9009-67ADB6612613}">
          <x14:formula1>
            <xm:f>'Menus déroulants'!$G$2:$G$4</xm:f>
          </x14:formula1>
          <xm:sqref>C13:AF13</xm:sqref>
        </x14:dataValidation>
        <x14:dataValidation type="list" allowBlank="1" showInputMessage="1" showErrorMessage="1" xr:uid="{81EF15F6-7CCF-4233-8EED-9F913D448826}">
          <x14:formula1>
            <xm:f>'Menus déroulants'!$H$2:$H$3</xm:f>
          </x14:formula1>
          <xm:sqref>C57:AF63 C19:AF19 C21:AF21 C14:AF14 C50:AF55 C65:AF65 C67:AF67 C38:AF45</xm:sqref>
        </x14:dataValidation>
        <x14:dataValidation type="list" allowBlank="1" showInputMessage="1" showErrorMessage="1" xr:uid="{4B46B691-2E96-45AD-B946-DACB70DF8436}">
          <x14:formula1>
            <xm:f>'Menus déroulants'!$J$2:$J$3</xm:f>
          </x14:formula1>
          <xm:sqref>C21:AF21</xm:sqref>
        </x14:dataValidation>
        <x14:dataValidation type="list" allowBlank="1" showInputMessage="1" showErrorMessage="1" xr:uid="{394C3487-C361-4231-AC7A-1EC92598CED1}">
          <x14:formula1>
            <xm:f>'Menus déroulants'!$K$2:$K$4</xm:f>
          </x14:formula1>
          <xm:sqref>C46:AF46 C22:AF22</xm:sqref>
        </x14:dataValidation>
        <x14:dataValidation type="list" allowBlank="1" showInputMessage="1" showErrorMessage="1" xr:uid="{55AB5088-C199-4D51-8C50-FCE084A5FA06}">
          <x14:formula1>
            <xm:f>'Menus déroulants'!$L$2:$L$5</xm:f>
          </x14:formula1>
          <xm:sqref>C25:AF29 C31:AF36 C64:AF64</xm:sqref>
        </x14:dataValidation>
        <x14:dataValidation type="list" allowBlank="1" showInputMessage="1" showErrorMessage="1" xr:uid="{0B3DF15C-184A-4ED1-87A3-883AA7627502}">
          <x14:formula1>
            <xm:f>'Menus déroulants'!$I$2:$I$6</xm:f>
          </x14:formula1>
          <xm:sqref>C20:AF20</xm:sqref>
        </x14:dataValidation>
        <x14:dataValidation type="list" allowBlank="1" showInputMessage="1" showErrorMessage="1" xr:uid="{A0DB0019-BB40-4BBD-981B-752AAC7B57A0}">
          <x14:formula1>
            <xm:f>'Données patients'!$C$30:$E$30</xm:f>
          </x14:formula1>
          <xm:sqref>C16:AF16 C18:AF18</xm:sqref>
        </x14:dataValidation>
        <x14:dataValidation type="list" allowBlank="1" showInputMessage="1" showErrorMessage="1" xr:uid="{FB9D8041-AD94-45E5-9FE3-0E2CD707E6B0}">
          <x14:formula1>
            <xm:f>'Menus déroulants'!$C$2:$C$12</xm:f>
          </x14:formula1>
          <xm:sqref>C10:AF10</xm:sqref>
        </x14:dataValidation>
        <x14:dataValidation type="list" allowBlank="1" showInputMessage="1" showErrorMessage="1" xr:uid="{00000000-0002-0000-0200-000006000000}">
          <x14:formula1>
            <xm:f>'Menus déroulants'!$D$2:$D$8</xm:f>
          </x14:formula1>
          <xm:sqref>C17:AF17</xm:sqref>
        </x14:dataValidation>
        <x14:dataValidation type="list" allowBlank="1" showInputMessage="1" showErrorMessage="1" xr:uid="{F47579CB-2A42-441B-BCE7-8A02D62E0C06}">
          <x14:formula1>
            <xm:f>'Menus déroulants'!$M$2:$M$4</xm:f>
          </x14:formula1>
          <xm:sqref>C48:AF48</xm:sqref>
        </x14:dataValidation>
        <x14:dataValidation type="list" allowBlank="1" showInputMessage="1" showErrorMessage="1" xr:uid="{00000000-0002-0000-0200-00000D000000}">
          <x14:formula1>
            <xm:f>Périmètre!$A$14:$A$23</xm:f>
          </x14:formula1>
          <xm:sqref>AG6:AG10</xm:sqref>
        </x14:dataValidation>
        <x14:dataValidation type="list" allowBlank="1" showInputMessage="1" showErrorMessage="1" xr:uid="{EDACC7FC-87A5-436D-9838-D631744801C3}">
          <x14:formula1>
            <xm:f>Périmètre!$A$14:$A$43</xm:f>
          </x14:formula1>
          <xm:sqref>C8:AF8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C26CA-4CDE-4478-B277-E70428731B70}">
  <sheetPr>
    <tabColor rgb="FFFFAB57"/>
  </sheetPr>
  <dimension ref="A1:N262"/>
  <sheetViews>
    <sheetView showGridLines="0" view="pageLayout" topLeftCell="A178" zoomScale="84" zoomScaleNormal="100" zoomScalePageLayoutView="84" workbookViewId="0">
      <selection activeCell="A196" sqref="A196:H196"/>
    </sheetView>
  </sheetViews>
  <sheetFormatPr baseColWidth="10" defaultColWidth="53.85546875" defaultRowHeight="15" x14ac:dyDescent="0.25"/>
  <cols>
    <col min="1" max="1" width="16.5703125" style="76" customWidth="1"/>
    <col min="2" max="2" width="15.140625" style="160" customWidth="1"/>
    <col min="3" max="3" width="8" style="76" bestFit="1" customWidth="1"/>
    <col min="4" max="4" width="12" style="76" bestFit="1" customWidth="1"/>
    <col min="5" max="5" width="12.85546875" style="76" bestFit="1" customWidth="1"/>
    <col min="6" max="6" width="8.7109375" style="76" bestFit="1" customWidth="1"/>
    <col min="7" max="7" width="9" style="76" customWidth="1"/>
    <col min="8" max="8" width="10" style="76" customWidth="1"/>
    <col min="9" max="9" width="25" style="74" customWidth="1"/>
    <col min="10" max="11" width="12.5703125" style="74" customWidth="1"/>
    <col min="12" max="13" width="15.7109375" style="74" customWidth="1"/>
    <col min="14" max="14" width="12.5703125" style="74" customWidth="1"/>
    <col min="15" max="16384" width="53.85546875" style="3"/>
  </cols>
  <sheetData>
    <row r="1" spans="1:14" ht="18.75" x14ac:dyDescent="0.25">
      <c r="A1" s="117" t="s">
        <v>227</v>
      </c>
      <c r="B1" s="308">
        <f>Périmètre!B1</f>
        <v>0</v>
      </c>
      <c r="C1" s="309"/>
      <c r="E1" s="310" t="s">
        <v>460</v>
      </c>
      <c r="F1" s="310"/>
      <c r="G1" s="310"/>
      <c r="H1" s="492">
        <f>Périmètre!B4</f>
        <v>0</v>
      </c>
      <c r="I1" s="305" t="s">
        <v>249</v>
      </c>
      <c r="J1" s="305"/>
      <c r="K1" s="305"/>
      <c r="L1" s="305"/>
      <c r="M1" s="305"/>
      <c r="N1" s="305"/>
    </row>
    <row r="2" spans="1:14" ht="15" customHeight="1" x14ac:dyDescent="0.25">
      <c r="A2" s="117" t="s">
        <v>170</v>
      </c>
      <c r="B2" s="308">
        <f>Périmètre!B2</f>
        <v>0</v>
      </c>
      <c r="C2" s="309"/>
      <c r="E2" s="310" t="s">
        <v>189</v>
      </c>
      <c r="F2" s="310"/>
      <c r="G2" s="310"/>
      <c r="H2" s="87" cm="1">
        <f t="array" ref="H2" xml:space="preserve"> IFERROR(COUNTA(_xlfn.UNIQUE( _xlfn._xlws.FILTER( 'Traçabilité et info patient'!C5:AF5,'Traçabilité et info patient'!C5:AF5&lt;&gt; "", "" ), FALSE, FALSE ) ),0)</f>
        <v>1</v>
      </c>
    </row>
    <row r="3" spans="1:14" ht="15" customHeight="1" x14ac:dyDescent="0.25">
      <c r="A3" s="117" t="s">
        <v>172</v>
      </c>
      <c r="B3" s="308">
        <f>Périmètre!B5</f>
        <v>0</v>
      </c>
      <c r="C3" s="309"/>
      <c r="E3" s="310" t="s">
        <v>197</v>
      </c>
      <c r="F3" s="310"/>
      <c r="G3" s="310"/>
      <c r="H3" s="110" cm="1">
        <f t="array" ref="H3" xml:space="preserve"> IFERROR(COUNTA(_xlfn.UNIQUE( _xlfn._xlws.FILTER( 'Traçabilité et info patient'!C8:AF8,'Traçabilité et info patient'!C8:AF8 &lt;&gt; "", "" ), FALSE, FALSE ) ),0)</f>
        <v>5</v>
      </c>
      <c r="I3" s="292" t="s">
        <v>243</v>
      </c>
      <c r="J3" s="292"/>
      <c r="K3" s="292"/>
      <c r="L3" s="292"/>
      <c r="M3" s="292"/>
      <c r="N3" s="292"/>
    </row>
    <row r="4" spans="1:14" x14ac:dyDescent="0.25">
      <c r="C4" s="77"/>
      <c r="I4" s="77"/>
    </row>
    <row r="5" spans="1:14" ht="18.75" x14ac:dyDescent="0.25">
      <c r="A5" s="305" t="s">
        <v>249</v>
      </c>
      <c r="B5" s="305"/>
      <c r="C5" s="305"/>
      <c r="D5" s="305"/>
      <c r="E5" s="305"/>
      <c r="F5" s="305"/>
      <c r="G5" s="305"/>
      <c r="H5" s="305"/>
      <c r="I5" s="77"/>
    </row>
    <row r="6" spans="1:14" customFormat="1" x14ac:dyDescent="0.25">
      <c r="A6" s="196"/>
      <c r="B6" s="161"/>
    </row>
    <row r="7" spans="1:14" customFormat="1" ht="18.75" x14ac:dyDescent="0.25">
      <c r="A7" s="292" t="s">
        <v>243</v>
      </c>
      <c r="B7" s="292"/>
      <c r="C7" s="292"/>
      <c r="D7" s="292"/>
      <c r="E7" s="292"/>
      <c r="F7" s="292"/>
      <c r="G7" s="292"/>
      <c r="H7" s="292"/>
    </row>
    <row r="8" spans="1:14" ht="15.75" thickBot="1" x14ac:dyDescent="0.3">
      <c r="B8" s="162"/>
      <c r="C8" s="77"/>
      <c r="D8" s="77"/>
      <c r="E8" s="77"/>
      <c r="F8" s="77"/>
      <c r="H8" s="77"/>
      <c r="I8" s="77"/>
    </row>
    <row r="9" spans="1:14" x14ac:dyDescent="0.25">
      <c r="A9" s="266" t="s">
        <v>115</v>
      </c>
      <c r="B9" s="287"/>
      <c r="C9" s="289" t="s">
        <v>60</v>
      </c>
      <c r="D9" s="290"/>
      <c r="E9" s="291"/>
      <c r="F9" s="289" t="s">
        <v>225</v>
      </c>
      <c r="G9" s="290"/>
      <c r="H9" s="291"/>
      <c r="I9" s="77"/>
    </row>
    <row r="10" spans="1:14" ht="15.75" thickBot="1" x14ac:dyDescent="0.3">
      <c r="A10" s="268"/>
      <c r="B10" s="288"/>
      <c r="C10" s="79" t="s">
        <v>152</v>
      </c>
      <c r="D10" s="106" t="s">
        <v>153</v>
      </c>
      <c r="E10" s="105" t="s">
        <v>226</v>
      </c>
      <c r="F10" s="79" t="s">
        <v>152</v>
      </c>
      <c r="G10" s="106" t="s">
        <v>153</v>
      </c>
      <c r="H10" s="105" t="s">
        <v>226</v>
      </c>
      <c r="I10" s="77"/>
    </row>
    <row r="11" spans="1:14" s="74" customFormat="1" ht="24" x14ac:dyDescent="0.25">
      <c r="A11" s="289" t="s">
        <v>187</v>
      </c>
      <c r="B11" s="163" t="s">
        <v>188</v>
      </c>
      <c r="C11" s="89">
        <f>SUM(C12:C18)</f>
        <v>14</v>
      </c>
      <c r="D11" s="90">
        <f>SUM(D12:D18)</f>
        <v>16</v>
      </c>
      <c r="E11" s="88">
        <f>SUM(E12:E18)</f>
        <v>30</v>
      </c>
      <c r="F11" s="91">
        <f t="shared" ref="F11:H18" si="0">C11/$E$11</f>
        <v>0.46666666666666667</v>
      </c>
      <c r="G11" s="92">
        <f t="shared" si="0"/>
        <v>0.53333333333333333</v>
      </c>
      <c r="H11" s="93">
        <f t="shared" si="0"/>
        <v>1</v>
      </c>
      <c r="I11" s="77"/>
    </row>
    <row r="12" spans="1:14" s="74" customFormat="1" ht="12" x14ac:dyDescent="0.25">
      <c r="A12" s="301"/>
      <c r="B12" s="164" t="s">
        <v>191</v>
      </c>
      <c r="C12" s="78">
        <f>COUNTIFS('Traçabilité et info patient'!$C$7:$AF$7,'Données patients'!$B12,'Traçabilité et info patient'!$C$6:$AF$6,'Données patients'!C$10)</f>
        <v>1</v>
      </c>
      <c r="D12" s="95">
        <f>COUNTIFS('Traçabilité et info patient'!$C$7:$AF$7,'Données patients'!$B12,'Traçabilité et info patient'!$C$6:$AF$6,'Données patients'!D$10)</f>
        <v>0</v>
      </c>
      <c r="E12" s="94">
        <f t="shared" ref="E12:E18" si="1">SUM(C12:D12)</f>
        <v>1</v>
      </c>
      <c r="F12" s="96">
        <f t="shared" si="0"/>
        <v>3.3333333333333333E-2</v>
      </c>
      <c r="G12" s="97">
        <f t="shared" si="0"/>
        <v>0</v>
      </c>
      <c r="H12" s="98">
        <f t="shared" si="0"/>
        <v>3.3333333333333333E-2</v>
      </c>
      <c r="I12" s="77"/>
    </row>
    <row r="13" spans="1:14" s="74" customFormat="1" ht="12" x14ac:dyDescent="0.25">
      <c r="A13" s="301"/>
      <c r="B13" s="165" t="s">
        <v>192</v>
      </c>
      <c r="C13" s="100">
        <f>COUNTIFS('Traçabilité et info patient'!$C$7:$AF$7,'Données patients'!$B13,'Traçabilité et info patient'!$C$6:$AF$6,'Données patients'!C$10)</f>
        <v>2</v>
      </c>
      <c r="D13" s="101">
        <f>COUNTIFS('Traçabilité et info patient'!$C$7:$AF$7,'Données patients'!$B13,'Traçabilité et info patient'!$C$6:$AF$6,'Données patients'!D$10)</f>
        <v>3</v>
      </c>
      <c r="E13" s="99">
        <f t="shared" si="1"/>
        <v>5</v>
      </c>
      <c r="F13" s="102">
        <f t="shared" si="0"/>
        <v>6.6666666666666666E-2</v>
      </c>
      <c r="G13" s="103">
        <f t="shared" si="0"/>
        <v>0.1</v>
      </c>
      <c r="H13" s="104">
        <f t="shared" si="0"/>
        <v>0.16666666666666666</v>
      </c>
      <c r="I13" s="77"/>
    </row>
    <row r="14" spans="1:14" s="74" customFormat="1" ht="12" x14ac:dyDescent="0.25">
      <c r="A14" s="301"/>
      <c r="B14" s="164" t="s">
        <v>193</v>
      </c>
      <c r="C14" s="78">
        <f>COUNTIFS('Traçabilité et info patient'!$C$7:$AF$7,'Données patients'!$B14,'Traçabilité et info patient'!$C$6:$AF$6,'Données patients'!C$10)</f>
        <v>2</v>
      </c>
      <c r="D14" s="95">
        <f>COUNTIFS('Traçabilité et info patient'!$C$7:$AF$7,'Données patients'!$B14,'Traçabilité et info patient'!$C$6:$AF$6,'Données patients'!D$10)</f>
        <v>2</v>
      </c>
      <c r="E14" s="94">
        <f t="shared" si="1"/>
        <v>4</v>
      </c>
      <c r="F14" s="96">
        <f t="shared" si="0"/>
        <v>6.6666666666666666E-2</v>
      </c>
      <c r="G14" s="97">
        <f t="shared" si="0"/>
        <v>6.6666666666666666E-2</v>
      </c>
      <c r="H14" s="98">
        <f t="shared" si="0"/>
        <v>0.13333333333333333</v>
      </c>
      <c r="I14" s="77"/>
    </row>
    <row r="15" spans="1:14" s="74" customFormat="1" ht="12" x14ac:dyDescent="0.25">
      <c r="A15" s="301"/>
      <c r="B15" s="165" t="s">
        <v>194</v>
      </c>
      <c r="C15" s="100">
        <f>COUNTIFS('Traçabilité et info patient'!$C$7:$AF$7,'Données patients'!$B15,'Traçabilité et info patient'!$C$6:$AF$6,'Données patients'!C$10)</f>
        <v>1</v>
      </c>
      <c r="D15" s="101">
        <f>COUNTIFS('Traçabilité et info patient'!$C$7:$AF$7,'Données patients'!$B15,'Traçabilité et info patient'!$C$6:$AF$6,'Données patients'!D$10)</f>
        <v>3</v>
      </c>
      <c r="E15" s="99">
        <f t="shared" si="1"/>
        <v>4</v>
      </c>
      <c r="F15" s="102">
        <f t="shared" si="0"/>
        <v>3.3333333333333333E-2</v>
      </c>
      <c r="G15" s="103">
        <f t="shared" si="0"/>
        <v>0.1</v>
      </c>
      <c r="H15" s="104">
        <f t="shared" si="0"/>
        <v>0.13333333333333333</v>
      </c>
    </row>
    <row r="16" spans="1:14" s="74" customFormat="1" ht="12" x14ac:dyDescent="0.25">
      <c r="A16" s="301"/>
      <c r="B16" s="164" t="s">
        <v>195</v>
      </c>
      <c r="C16" s="78">
        <f>COUNTIFS('Traçabilité et info patient'!$C$7:$AF$7,'Données patients'!$B16,'Traçabilité et info patient'!$C$6:$AF$6,'Données patients'!C$10)</f>
        <v>3</v>
      </c>
      <c r="D16" s="95">
        <f>COUNTIFS('Traçabilité et info patient'!$C$7:$AF$7,'Données patients'!$B16,'Traçabilité et info patient'!$C$6:$AF$6,'Données patients'!D$10)</f>
        <v>2</v>
      </c>
      <c r="E16" s="94">
        <f t="shared" si="1"/>
        <v>5</v>
      </c>
      <c r="F16" s="96">
        <f t="shared" si="0"/>
        <v>0.1</v>
      </c>
      <c r="G16" s="97">
        <f t="shared" si="0"/>
        <v>6.6666666666666666E-2</v>
      </c>
      <c r="H16" s="98">
        <f t="shared" si="0"/>
        <v>0.16666666666666666</v>
      </c>
    </row>
    <row r="17" spans="1:14" s="74" customFormat="1" ht="12" x14ac:dyDescent="0.25">
      <c r="A17" s="301"/>
      <c r="B17" s="165" t="s">
        <v>196</v>
      </c>
      <c r="C17" s="100">
        <f>COUNTIFS('Traçabilité et info patient'!$C$7:$AF$7,'Données patients'!$B17,'Traçabilité et info patient'!$C$6:$AF$6,'Données patients'!C$10)</f>
        <v>5</v>
      </c>
      <c r="D17" s="101">
        <f>COUNTIFS('Traçabilité et info patient'!$C$7:$AF$7,'Données patients'!$B17,'Traçabilité et info patient'!$C$6:$AF$6,'Données patients'!D$10)</f>
        <v>2</v>
      </c>
      <c r="E17" s="99">
        <f t="shared" si="1"/>
        <v>7</v>
      </c>
      <c r="F17" s="102">
        <f t="shared" si="0"/>
        <v>0.16666666666666666</v>
      </c>
      <c r="G17" s="103">
        <f t="shared" si="0"/>
        <v>6.6666666666666666E-2</v>
      </c>
      <c r="H17" s="104">
        <f t="shared" si="0"/>
        <v>0.23333333333333334</v>
      </c>
    </row>
    <row r="18" spans="1:14" s="74" customFormat="1" ht="12.75" thickBot="1" x14ac:dyDescent="0.3">
      <c r="A18" s="302"/>
      <c r="B18" s="166" t="s">
        <v>190</v>
      </c>
      <c r="C18" s="79">
        <f>COUNTIFS('Traçabilité et info patient'!$C$7:$AF$7,'Données patients'!$B18,'Traçabilité et info patient'!$C$6:$AF$6,'Données patients'!C$10)</f>
        <v>0</v>
      </c>
      <c r="D18" s="106">
        <f>COUNTIFS('Traçabilité et info patient'!$C$7:$AF$7,'Données patients'!$B18,'Traçabilité et info patient'!$C$6:$AF$6,'Données patients'!D$10)</f>
        <v>4</v>
      </c>
      <c r="E18" s="105">
        <f t="shared" si="1"/>
        <v>4</v>
      </c>
      <c r="F18" s="107">
        <f t="shared" si="0"/>
        <v>0</v>
      </c>
      <c r="G18" s="108">
        <f t="shared" si="0"/>
        <v>0.13333333333333333</v>
      </c>
      <c r="H18" s="109">
        <f t="shared" si="0"/>
        <v>0.13333333333333333</v>
      </c>
    </row>
    <row r="19" spans="1:14" customFormat="1" x14ac:dyDescent="0.25">
      <c r="A19" s="196"/>
      <c r="B19" s="161"/>
      <c r="I19" s="74"/>
      <c r="J19" s="74"/>
      <c r="K19" s="74"/>
      <c r="L19" s="74"/>
      <c r="M19" s="74"/>
      <c r="N19" s="74"/>
    </row>
    <row r="20" spans="1:14" customFormat="1" ht="18.75" x14ac:dyDescent="0.25">
      <c r="A20" s="292" t="s">
        <v>244</v>
      </c>
      <c r="B20" s="292"/>
      <c r="C20" s="292"/>
      <c r="D20" s="292"/>
      <c r="E20" s="292"/>
      <c r="F20" s="292"/>
      <c r="G20" s="292"/>
      <c r="H20" s="292"/>
      <c r="I20" s="292" t="s">
        <v>244</v>
      </c>
      <c r="J20" s="292"/>
      <c r="K20" s="292"/>
      <c r="L20" s="292"/>
      <c r="M20" s="292"/>
      <c r="N20" s="292"/>
    </row>
    <row r="21" spans="1:14" ht="15.75" thickBot="1" x14ac:dyDescent="0.3">
      <c r="A21" s="197"/>
      <c r="B21" s="161"/>
      <c r="C21"/>
      <c r="D21"/>
      <c r="E21"/>
      <c r="F21"/>
      <c r="G21"/>
      <c r="H21"/>
    </row>
    <row r="22" spans="1:14" customFormat="1" x14ac:dyDescent="0.25">
      <c r="A22" s="266" t="s">
        <v>115</v>
      </c>
      <c r="B22" s="287"/>
      <c r="C22" s="289" t="s">
        <v>60</v>
      </c>
      <c r="D22" s="290"/>
      <c r="E22" s="291"/>
      <c r="F22" s="289" t="s">
        <v>225</v>
      </c>
      <c r="G22" s="290"/>
      <c r="H22" s="291"/>
      <c r="I22" s="74"/>
      <c r="J22" s="74"/>
      <c r="K22" s="74"/>
      <c r="L22" s="74"/>
      <c r="M22" s="74"/>
      <c r="N22" s="74"/>
    </row>
    <row r="23" spans="1:14" customFormat="1" ht="15.75" thickBot="1" x14ac:dyDescent="0.3">
      <c r="A23" s="268"/>
      <c r="B23" s="288"/>
      <c r="C23" s="79" t="s">
        <v>152</v>
      </c>
      <c r="D23" s="106" t="s">
        <v>153</v>
      </c>
      <c r="E23" s="105" t="s">
        <v>226</v>
      </c>
      <c r="F23" s="79" t="s">
        <v>152</v>
      </c>
      <c r="G23" s="106" t="s">
        <v>153</v>
      </c>
      <c r="H23" s="105" t="s">
        <v>226</v>
      </c>
      <c r="I23" s="74"/>
      <c r="J23" s="74"/>
      <c r="K23" s="74"/>
      <c r="L23" s="74"/>
      <c r="M23" s="74"/>
      <c r="N23" s="74"/>
    </row>
    <row r="24" spans="1:14" ht="22.5" customHeight="1" x14ac:dyDescent="0.25">
      <c r="A24" s="270" t="s">
        <v>237</v>
      </c>
      <c r="B24" s="163" t="s">
        <v>61</v>
      </c>
      <c r="C24" s="89">
        <f>SUM(C25:C27)</f>
        <v>14</v>
      </c>
      <c r="D24" s="90">
        <f>SUM(D25:D27)</f>
        <v>16</v>
      </c>
      <c r="E24" s="88">
        <f>SUM(C24:D24)</f>
        <v>30</v>
      </c>
      <c r="F24" s="91">
        <f t="shared" ref="F24:G27" si="2">C24/$E$11</f>
        <v>0.46666666666666667</v>
      </c>
      <c r="G24" s="92">
        <f t="shared" si="2"/>
        <v>0.53333333333333333</v>
      </c>
      <c r="H24" s="93">
        <f>E24/$E$24</f>
        <v>1</v>
      </c>
    </row>
    <row r="25" spans="1:14" ht="22.5" customHeight="1" x14ac:dyDescent="0.25">
      <c r="A25" s="306"/>
      <c r="B25" s="164">
        <v>1</v>
      </c>
      <c r="C25" s="78">
        <f>COUNTIFS('Traçabilité et info patient'!$C$6:$AF$6,'Menus déroulants'!E$2,'Traçabilité et info patient'!$C$16:$AF$16,'Données patients'!$B25)</f>
        <v>11</v>
      </c>
      <c r="D25" s="95">
        <f>COUNTIFS('Traçabilité et info patient'!$C$6:$AF$6,'Menus déroulants'!E$3,'Traçabilité et info patient'!$C$16:$AF$16,'Données patients'!$B25)</f>
        <v>11</v>
      </c>
      <c r="E25" s="94">
        <f>SUM(C25:D25)</f>
        <v>22</v>
      </c>
      <c r="F25" s="96">
        <f t="shared" si="2"/>
        <v>0.36666666666666664</v>
      </c>
      <c r="G25" s="97">
        <f t="shared" si="2"/>
        <v>0.36666666666666664</v>
      </c>
      <c r="H25" s="98">
        <f>E25/$E$24</f>
        <v>0.73333333333333328</v>
      </c>
    </row>
    <row r="26" spans="1:14" ht="22.5" customHeight="1" x14ac:dyDescent="0.25">
      <c r="A26" s="306"/>
      <c r="B26" s="165">
        <v>2</v>
      </c>
      <c r="C26" s="100">
        <f>COUNTIFS('Traçabilité et info patient'!$C$6:$AF$6,'Menus déroulants'!E$2,'Traçabilité et info patient'!$C$16:$AF$16,'Données patients'!$B26)</f>
        <v>2</v>
      </c>
      <c r="D26" s="101">
        <f>COUNTIFS('Traçabilité et info patient'!$C$6:$AF$6,'Menus déroulants'!E$3,'Traçabilité et info patient'!$C$16:$AF$16,'Données patients'!$B26)</f>
        <v>4</v>
      </c>
      <c r="E26" s="99">
        <f>SUM(C26:D26)</f>
        <v>6</v>
      </c>
      <c r="F26" s="102">
        <f t="shared" si="2"/>
        <v>6.6666666666666666E-2</v>
      </c>
      <c r="G26" s="103">
        <f t="shared" si="2"/>
        <v>0.13333333333333333</v>
      </c>
      <c r="H26" s="104">
        <f>E26/$E$24</f>
        <v>0.2</v>
      </c>
    </row>
    <row r="27" spans="1:14" ht="15.75" thickBot="1" x14ac:dyDescent="0.3">
      <c r="A27" s="307"/>
      <c r="B27" s="166" t="s">
        <v>224</v>
      </c>
      <c r="C27" s="79">
        <f>COUNTIFS('Traçabilité et info patient'!$C$6:$AF$6,'Menus déroulants'!E$2,'Traçabilité et info patient'!$C$16:$AF$16,'Données patients'!$B27)</f>
        <v>1</v>
      </c>
      <c r="D27" s="106">
        <f>COUNTIFS('Traçabilité et info patient'!$C$6:$AF$6,'Menus déroulants'!E$3,'Traçabilité et info patient'!$C$16:$AF$16,'Données patients'!$B27)</f>
        <v>1</v>
      </c>
      <c r="E27" s="105">
        <f>SUM(C27:D27)</f>
        <v>2</v>
      </c>
      <c r="F27" s="107">
        <f t="shared" si="2"/>
        <v>3.3333333333333333E-2</v>
      </c>
      <c r="G27" s="108">
        <f t="shared" si="2"/>
        <v>3.3333333333333333E-2</v>
      </c>
      <c r="H27" s="109">
        <f>E27/$E$24</f>
        <v>6.6666666666666666E-2</v>
      </c>
    </row>
    <row r="28" spans="1:14" ht="15.75" thickBot="1" x14ac:dyDescent="0.3">
      <c r="I28"/>
      <c r="J28"/>
      <c r="K28"/>
      <c r="L28"/>
      <c r="M28"/>
      <c r="N28"/>
    </row>
    <row r="29" spans="1:14" ht="15.75" customHeight="1" thickBot="1" x14ac:dyDescent="0.3">
      <c r="A29" s="303" t="s">
        <v>115</v>
      </c>
      <c r="B29" s="304"/>
      <c r="C29" s="298" t="s">
        <v>152</v>
      </c>
      <c r="D29" s="299"/>
      <c r="E29" s="300"/>
      <c r="F29" s="279" t="s">
        <v>153</v>
      </c>
      <c r="G29" s="280"/>
      <c r="H29" s="281"/>
      <c r="I29"/>
      <c r="J29"/>
      <c r="K29"/>
      <c r="L29"/>
      <c r="M29"/>
      <c r="N29"/>
    </row>
    <row r="30" spans="1:14" ht="15.75" thickBot="1" x14ac:dyDescent="0.3">
      <c r="A30" s="303" t="s">
        <v>246</v>
      </c>
      <c r="B30" s="304"/>
      <c r="C30" s="79">
        <v>1</v>
      </c>
      <c r="D30" s="106">
        <v>2</v>
      </c>
      <c r="E30" s="105" t="s">
        <v>224</v>
      </c>
      <c r="F30" s="130">
        <v>1</v>
      </c>
      <c r="G30" s="106">
        <v>2</v>
      </c>
      <c r="H30" s="105" t="s">
        <v>224</v>
      </c>
    </row>
    <row r="31" spans="1:14" customFormat="1" x14ac:dyDescent="0.25">
      <c r="A31" s="289" t="s">
        <v>187</v>
      </c>
      <c r="B31" s="167" t="s">
        <v>191</v>
      </c>
      <c r="C31" s="89">
        <f>COUNTIFS('Traçabilité et info patient'!$C$16:$AF$16,'Données patients'!C$30,'Traçabilité et info patient'!$C$7:$AF$7,'Données patients'!$B31,'Traçabilité et info patient'!$C6:$AF6,'Menus déroulants'!$E2)</f>
        <v>0</v>
      </c>
      <c r="D31" s="90">
        <f>COUNTIFS('Traçabilité et info patient'!$C$16:$AF$16,'Données patients'!D$30,'Traçabilité et info patient'!$C$7:$AF$7,'Données patients'!$B31,'Traçabilité et info patient'!$C6:$AF6,'Menus déroulants'!$E2)</f>
        <v>1</v>
      </c>
      <c r="E31" s="88">
        <f>COUNTIFS('Traçabilité et info patient'!$C$16:$AF$16,'Données patients'!E$30,'Traçabilité et info patient'!$C$7:$AF$7,'Données patients'!$B31,'Traçabilité et info patient'!$C6:$AF6,'Menus déroulants'!$E2)</f>
        <v>0</v>
      </c>
      <c r="F31" s="89">
        <f>COUNTIFS('Traçabilité et info patient'!$C$16:$AF$16,'Données patients'!F$30,'Traçabilité et info patient'!$C$7:$AF$7,'Données patients'!$B31,'Traçabilité et info patient'!$C6:$AF6,'Menus déroulants'!$E3)</f>
        <v>0</v>
      </c>
      <c r="G31" s="90">
        <f>COUNTIFS('Traçabilité et info patient'!$C$16:$AF$16,'Données patients'!G$30,'Traçabilité et info patient'!$C$7:$AF$7,'Données patients'!$B31,'Traçabilité et info patient'!$C6:$AF6,'Menus déroulants'!$E3)</f>
        <v>0</v>
      </c>
      <c r="H31" s="88">
        <f>COUNTIFS('Traçabilité et info patient'!$C$16:$AF$16,'Données patients'!H$30,'Traçabilité et info patient'!$C$7:$AF$7,'Données patients'!$B31,'Traçabilité et info patient'!$C6:$AF6,'Menus déroulants'!$E3)</f>
        <v>0</v>
      </c>
      <c r="I31" s="74"/>
      <c r="J31" s="74"/>
      <c r="K31" s="74"/>
      <c r="L31" s="74"/>
      <c r="M31" s="74"/>
      <c r="N31" s="74"/>
    </row>
    <row r="32" spans="1:14" customFormat="1" x14ac:dyDescent="0.25">
      <c r="A32" s="301"/>
      <c r="B32" s="168" t="s">
        <v>192</v>
      </c>
      <c r="C32" s="78">
        <f>COUNTIFS('Traçabilité et info patient'!$C$16:$AF$16,'Données patients'!C$30,'Traçabilité et info patient'!$C$7:$AF$7,'Données patients'!$B32,'Traçabilité et info patient'!$C6:$AF6,'Menus déroulants'!$E2)</f>
        <v>2</v>
      </c>
      <c r="D32" s="95">
        <f>COUNTIFS('Traçabilité et info patient'!$C$16:$AF$16,'Données patients'!D$30,'Traçabilité et info patient'!$C$7:$AF$7,'Données patients'!$B32,'Traçabilité et info patient'!$C6:$AF6,'Menus déroulants'!$E2)</f>
        <v>0</v>
      </c>
      <c r="E32" s="94">
        <f>COUNTIFS('Traçabilité et info patient'!$C$16:$AF$16,'Données patients'!E$30,'Traçabilité et info patient'!$C$7:$AF$7,'Données patients'!$B32,'Traçabilité et info patient'!$C6:$AF6,'Menus déroulants'!$E2)</f>
        <v>0</v>
      </c>
      <c r="F32" s="78">
        <f>COUNTIFS('Traçabilité et info patient'!$C$16:$AF$16,'Données patients'!F$30,'Traçabilité et info patient'!$C$7:$AF$7,'Données patients'!$B32,'Traçabilité et info patient'!$C6:$AF6,'Menus déroulants'!$E3)</f>
        <v>2</v>
      </c>
      <c r="G32" s="95">
        <f>COUNTIFS('Traçabilité et info patient'!$C$16:$AF$16,'Données patients'!G$30,'Traçabilité et info patient'!$C$7:$AF$7,'Données patients'!$B32,'Traçabilité et info patient'!$C6:$AF6,'Menus déroulants'!$E3)</f>
        <v>1</v>
      </c>
      <c r="H32" s="94">
        <f>COUNTIFS('Traçabilité et info patient'!$C$16:$AF$16,'Données patients'!H$30,'Traçabilité et info patient'!$C$7:$AF$7,'Données patients'!$B32,'Traçabilité et info patient'!$C6:$AF6,'Menus déroulants'!$E3)</f>
        <v>0</v>
      </c>
      <c r="I32" s="74"/>
      <c r="J32" s="74"/>
      <c r="K32" s="74"/>
      <c r="L32" s="74"/>
      <c r="M32" s="74"/>
      <c r="N32" s="74"/>
    </row>
    <row r="33" spans="1:14" customFormat="1" x14ac:dyDescent="0.25">
      <c r="A33" s="301"/>
      <c r="B33" s="169" t="s">
        <v>193</v>
      </c>
      <c r="C33" s="100">
        <f>COUNTIFS('Traçabilité et info patient'!$C$16:$AF$16,'Données patients'!C$30,'Traçabilité et info patient'!$C$7:$AF$7,'Données patients'!$B33,'Traçabilité et info patient'!$C6:$AF6,'Menus déroulants'!$E2)</f>
        <v>1</v>
      </c>
      <c r="D33" s="101">
        <f>COUNTIFS('Traçabilité et info patient'!$C$16:$AF$16,'Données patients'!D$30,'Traçabilité et info patient'!$C$7:$AF$7,'Données patients'!$B33,'Traçabilité et info patient'!$C6:$AF6,'Menus déroulants'!$E2)</f>
        <v>1</v>
      </c>
      <c r="E33" s="99">
        <f>COUNTIFS('Traçabilité et info patient'!$C$16:$AF$16,'Données patients'!E$30,'Traçabilité et info patient'!$C$7:$AF$7,'Données patients'!$B33,'Traçabilité et info patient'!$C6:$AF6,'Menus déroulants'!$E2)</f>
        <v>0</v>
      </c>
      <c r="F33" s="100">
        <f>COUNTIFS('Traçabilité et info patient'!$C$16:$AF$16,'Données patients'!F$30,'Traçabilité et info patient'!$C$7:$AF$7,'Données patients'!$B33,'Traçabilité et info patient'!$C6:$AF6,'Menus déroulants'!$E3)</f>
        <v>2</v>
      </c>
      <c r="G33" s="101">
        <f>COUNTIFS('Traçabilité et info patient'!$C$16:$AF$16,'Données patients'!G$30,'Traçabilité et info patient'!$C$7:$AF$7,'Données patients'!$B33,'Traçabilité et info patient'!$C6:$AF6,'Menus déroulants'!$E3)</f>
        <v>0</v>
      </c>
      <c r="H33" s="99">
        <f>COUNTIFS('Traçabilité et info patient'!$C$16:$AF$16,'Données patients'!H$30,'Traçabilité et info patient'!$C$7:$AF$7,'Données patients'!$B33,'Traçabilité et info patient'!$C6:$AF6,'Menus déroulants'!$E3)</f>
        <v>0</v>
      </c>
      <c r="I33" s="74"/>
      <c r="J33" s="74"/>
      <c r="K33" s="74"/>
      <c r="L33" s="74"/>
      <c r="M33" s="74"/>
      <c r="N33" s="74"/>
    </row>
    <row r="34" spans="1:14" customFormat="1" x14ac:dyDescent="0.25">
      <c r="A34" s="301"/>
      <c r="B34" s="168" t="s">
        <v>194</v>
      </c>
      <c r="C34" s="78">
        <f>COUNTIFS('Traçabilité et info patient'!$C$16:$AF$16,'Données patients'!C$30,'Traçabilité et info patient'!$C$7:$AF$7,'Données patients'!$B34,'Traçabilité et info patient'!$C6:$AF6,'Menus déroulants'!$E2)</f>
        <v>1</v>
      </c>
      <c r="D34" s="95">
        <f>COUNTIFS('Traçabilité et info patient'!$C$16:$AF$16,'Données patients'!D$30,'Traçabilité et info patient'!$C$7:$AF$7,'Données patients'!$B34,'Traçabilité et info patient'!$C6:$AF6,'Menus déroulants'!$E2)</f>
        <v>0</v>
      </c>
      <c r="E34" s="94">
        <f>COUNTIFS('Traçabilité et info patient'!$C$16:$AF$16,'Données patients'!E$30,'Traçabilité et info patient'!$C$7:$AF$7,'Données patients'!$B34,'Traçabilité et info patient'!$C6:$AF6,'Menus déroulants'!$E2)</f>
        <v>0</v>
      </c>
      <c r="F34" s="78">
        <f>COUNTIFS('Traçabilité et info patient'!$C$16:$AF$16,'Données patients'!F$30,'Traçabilité et info patient'!$C$7:$AF$7,'Données patients'!$B34,'Traçabilité et info patient'!$C6:$AF6,'Menus déroulants'!$E3)</f>
        <v>2</v>
      </c>
      <c r="G34" s="95">
        <f>COUNTIFS('Traçabilité et info patient'!$C$16:$AF$16,'Données patients'!G$30,'Traçabilité et info patient'!$C$7:$AF$7,'Données patients'!$B34,'Traçabilité et info patient'!$C6:$AF6,'Menus déroulants'!$E3)</f>
        <v>1</v>
      </c>
      <c r="H34" s="94">
        <f>COUNTIFS('Traçabilité et info patient'!$C$16:$AF$16,'Données patients'!H$30,'Traçabilité et info patient'!$C$7:$AF$7,'Données patients'!$B34,'Traçabilité et info patient'!$C6:$AF6,'Menus déroulants'!$E3)</f>
        <v>0</v>
      </c>
      <c r="I34" s="74"/>
      <c r="J34" s="74"/>
      <c r="K34" s="74"/>
      <c r="L34" s="74"/>
      <c r="M34" s="74"/>
      <c r="N34" s="74"/>
    </row>
    <row r="35" spans="1:14" customFormat="1" x14ac:dyDescent="0.25">
      <c r="A35" s="301"/>
      <c r="B35" s="169" t="s">
        <v>195</v>
      </c>
      <c r="C35" s="100">
        <f>COUNTIFS('Traçabilité et info patient'!$C$16:$AF$16,'Données patients'!C$30,'Traçabilité et info patient'!$C$7:$AF$7,'Données patients'!$B35,'Traçabilité et info patient'!$C6:$AF6,'Menus déroulants'!$E2)</f>
        <v>3</v>
      </c>
      <c r="D35" s="101">
        <f>COUNTIFS('Traçabilité et info patient'!$C$16:$AF$16,'Données patients'!D$30,'Traçabilité et info patient'!$C$7:$AF$7,'Données patients'!$B35,'Traçabilité et info patient'!$C6:$AF6,'Menus déroulants'!$E2)</f>
        <v>0</v>
      </c>
      <c r="E35" s="99">
        <f>COUNTIFS('Traçabilité et info patient'!$C$16:$AF$16,'Données patients'!E$30,'Traçabilité et info patient'!$C$7:$AF$7,'Données patients'!$B35,'Traçabilité et info patient'!$C6:$AF6,'Menus déroulants'!$E2)</f>
        <v>0</v>
      </c>
      <c r="F35" s="100">
        <f>COUNTIFS('Traçabilité et info patient'!$C$16:$AF$16,'Données patients'!F$30,'Traçabilité et info patient'!$C$7:$AF$7,'Données patients'!$B35,'Traçabilité et info patient'!$C6:$AF6,'Menus déroulants'!$E3)</f>
        <v>1</v>
      </c>
      <c r="G35" s="101">
        <f>COUNTIFS('Traçabilité et info patient'!$C$16:$AF$16,'Données patients'!G$30,'Traçabilité et info patient'!$C$7:$AF$7,'Données patients'!$B35,'Traçabilité et info patient'!$C6:$AF6,'Menus déroulants'!$E3)</f>
        <v>1</v>
      </c>
      <c r="H35" s="99">
        <f>COUNTIFS('Traçabilité et info patient'!$C$16:$AF$16,'Données patients'!H$30,'Traçabilité et info patient'!$C$7:$AF$7,'Données patients'!$B35,'Traçabilité et info patient'!$C6:$AF6,'Menus déroulants'!$E3)</f>
        <v>0</v>
      </c>
      <c r="I35" s="74"/>
      <c r="J35" s="74"/>
      <c r="K35" s="74"/>
      <c r="L35" s="74"/>
      <c r="M35" s="74"/>
      <c r="N35" s="74"/>
    </row>
    <row r="36" spans="1:14" customFormat="1" x14ac:dyDescent="0.25">
      <c r="A36" s="301"/>
      <c r="B36" s="168" t="s">
        <v>196</v>
      </c>
      <c r="C36" s="78">
        <f>COUNTIFS('Traçabilité et info patient'!$C$16:$AF$16,'Données patients'!C$30,'Traçabilité et info patient'!$C$7:$AF$7,'Données patients'!$B36,'Traçabilité et info patient'!$C6:$AF6,'Menus déroulants'!$E2)</f>
        <v>4</v>
      </c>
      <c r="D36" s="95">
        <f>COUNTIFS('Traçabilité et info patient'!$C$16:$AF$16,'Données patients'!D$30,'Traçabilité et info patient'!$C$7:$AF$7,'Données patients'!$B36,'Traçabilité et info patient'!$C6:$AF6,'Menus déroulants'!$E2)</f>
        <v>0</v>
      </c>
      <c r="E36" s="94">
        <f>COUNTIFS('Traçabilité et info patient'!$C$16:$AF$16,'Données patients'!E$30,'Traçabilité et info patient'!$C$7:$AF$7,'Données patients'!$B36,'Traçabilité et info patient'!$C6:$AF6,'Menus déroulants'!$E2)</f>
        <v>1</v>
      </c>
      <c r="F36" s="78">
        <f>COUNTIFS('Traçabilité et info patient'!$C$16:$AF$16,'Données patients'!F$30,'Traçabilité et info patient'!$C$7:$AF$7,'Données patients'!$B36,'Traçabilité et info patient'!$C6:$AF6,'Menus déroulants'!$E3)</f>
        <v>1</v>
      </c>
      <c r="G36" s="95">
        <f>COUNTIFS('Traçabilité et info patient'!$C$16:$AF$16,'Données patients'!G$30,'Traçabilité et info patient'!$C$7:$AF$7,'Données patients'!$B36,'Traçabilité et info patient'!$C6:$AF6,'Menus déroulants'!$E3)</f>
        <v>1</v>
      </c>
      <c r="H36" s="94">
        <f>COUNTIFS('Traçabilité et info patient'!$C$16:$AF$16,'Données patients'!H$30,'Traçabilité et info patient'!$C$7:$AF$7,'Données patients'!$B36,'Traçabilité et info patient'!$C6:$AF6,'Menus déroulants'!$E3)</f>
        <v>0</v>
      </c>
      <c r="I36" s="74"/>
      <c r="J36" s="74"/>
      <c r="K36" s="74"/>
      <c r="L36" s="74"/>
      <c r="M36" s="74"/>
    </row>
    <row r="37" spans="1:14" customFormat="1" x14ac:dyDescent="0.25">
      <c r="A37" s="301"/>
      <c r="B37" s="169" t="s">
        <v>190</v>
      </c>
      <c r="C37" s="100">
        <f>COUNTIFS('Traçabilité et info patient'!$C$16:$AF$16,'Données patients'!C$30,'Traçabilité et info patient'!$C$7:$AF$7,'Données patients'!$B37,'Traçabilité et info patient'!$C6:$AF6,'Menus déroulants'!$E2)</f>
        <v>0</v>
      </c>
      <c r="D37" s="101">
        <f>COUNTIFS('Traçabilité et info patient'!$C$16:$AF$16,'Données patients'!D$30,'Traçabilité et info patient'!$C$7:$AF$7,'Données patients'!$B37,'Traçabilité et info patient'!$C6:$AF6,'Menus déroulants'!$E2)</f>
        <v>0</v>
      </c>
      <c r="E37" s="99">
        <f>COUNTIFS('Traçabilité et info patient'!$C$16:$AF$16,'Données patients'!E$30,'Traçabilité et info patient'!$C$7:$AF$7,'Données patients'!$B37,'Traçabilité et info patient'!$C6:$AF6,'Menus déroulants'!$E2)</f>
        <v>0</v>
      </c>
      <c r="F37" s="100">
        <f>COUNTIFS('Traçabilité et info patient'!$C$16:$AF$16,'Données patients'!F$30,'Traçabilité et info patient'!$C$7:$AF$7,'Données patients'!$B37,'Traçabilité et info patient'!$C6:$AF6,'Menus déroulants'!$E3)</f>
        <v>3</v>
      </c>
      <c r="G37" s="101">
        <f>COUNTIFS('Traçabilité et info patient'!$C$16:$AF$16,'Données patients'!G$30,'Traçabilité et info patient'!$C$7:$AF$7,'Données patients'!$B37,'Traçabilité et info patient'!$C6:$AF6,'Menus déroulants'!$E3)</f>
        <v>0</v>
      </c>
      <c r="H37" s="99">
        <f>COUNTIFS('Traçabilité et info patient'!$C$16:$AF$16,'Données patients'!H$30,'Traçabilité et info patient'!$C$7:$AF$7,'Données patients'!$B37,'Traçabilité et info patient'!$C6:$AF6,'Menus déroulants'!$E3)</f>
        <v>1</v>
      </c>
      <c r="I37" s="74"/>
      <c r="J37" s="74"/>
      <c r="K37" s="74"/>
      <c r="L37" s="74"/>
      <c r="M37" s="74"/>
    </row>
    <row r="38" spans="1:14" customFormat="1" ht="15.75" thickBot="1" x14ac:dyDescent="0.3">
      <c r="A38" s="302"/>
      <c r="B38" s="170" t="s">
        <v>61</v>
      </c>
      <c r="C38" s="79">
        <f t="shared" ref="C38:H38" si="3">SUM(C31:C37)</f>
        <v>11</v>
      </c>
      <c r="D38" s="106">
        <f t="shared" si="3"/>
        <v>2</v>
      </c>
      <c r="E38" s="105">
        <f t="shared" si="3"/>
        <v>1</v>
      </c>
      <c r="F38" s="79">
        <f t="shared" si="3"/>
        <v>11</v>
      </c>
      <c r="G38" s="106">
        <f t="shared" si="3"/>
        <v>4</v>
      </c>
      <c r="H38" s="105">
        <f t="shared" si="3"/>
        <v>1</v>
      </c>
      <c r="I38" s="74"/>
      <c r="J38" s="74"/>
      <c r="K38" s="74"/>
      <c r="L38" s="74"/>
      <c r="M38" s="74"/>
    </row>
    <row r="39" spans="1:14" customFormat="1" ht="15.75" thickBot="1" x14ac:dyDescent="0.3">
      <c r="A39" s="303" t="s">
        <v>246</v>
      </c>
      <c r="B39" s="304"/>
      <c r="C39" s="79">
        <v>1</v>
      </c>
      <c r="D39" s="106">
        <v>2</v>
      </c>
      <c r="E39" s="105" t="s">
        <v>224</v>
      </c>
      <c r="F39" s="130">
        <v>1</v>
      </c>
      <c r="G39" s="106">
        <v>2</v>
      </c>
      <c r="H39" s="105" t="s">
        <v>224</v>
      </c>
      <c r="I39" s="74"/>
      <c r="J39" s="74"/>
      <c r="K39" s="74"/>
      <c r="L39" s="74"/>
      <c r="M39" s="74"/>
    </row>
    <row r="40" spans="1:14" customFormat="1" ht="15.75" customHeight="1" x14ac:dyDescent="0.25">
      <c r="A40" s="289" t="s">
        <v>187</v>
      </c>
      <c r="B40" s="167" t="s">
        <v>191</v>
      </c>
      <c r="C40" s="148">
        <f t="shared" ref="C40:H40" si="4">C31/$E$11</f>
        <v>0</v>
      </c>
      <c r="D40" s="149">
        <f t="shared" si="4"/>
        <v>3.3333333333333333E-2</v>
      </c>
      <c r="E40" s="150">
        <f t="shared" si="4"/>
        <v>0</v>
      </c>
      <c r="F40" s="148">
        <f t="shared" si="4"/>
        <v>0</v>
      </c>
      <c r="G40" s="149">
        <f t="shared" si="4"/>
        <v>0</v>
      </c>
      <c r="H40" s="150">
        <f t="shared" si="4"/>
        <v>0</v>
      </c>
      <c r="I40" s="74"/>
      <c r="J40" s="74"/>
      <c r="K40" s="74"/>
      <c r="L40" s="74"/>
      <c r="M40" s="74"/>
    </row>
    <row r="41" spans="1:14" customFormat="1" x14ac:dyDescent="0.25">
      <c r="A41" s="301"/>
      <c r="B41" s="168" t="s">
        <v>192</v>
      </c>
      <c r="C41" s="151">
        <f t="shared" ref="C41:H41" si="5">C32/$E$11</f>
        <v>6.6666666666666666E-2</v>
      </c>
      <c r="D41" s="152">
        <f t="shared" si="5"/>
        <v>0</v>
      </c>
      <c r="E41" s="153">
        <f t="shared" si="5"/>
        <v>0</v>
      </c>
      <c r="F41" s="151">
        <f t="shared" si="5"/>
        <v>6.6666666666666666E-2</v>
      </c>
      <c r="G41" s="152">
        <f t="shared" si="5"/>
        <v>3.3333333333333333E-2</v>
      </c>
      <c r="H41" s="153">
        <f t="shared" si="5"/>
        <v>0</v>
      </c>
      <c r="I41" s="74"/>
      <c r="J41" s="74"/>
      <c r="K41" s="74"/>
      <c r="L41" s="74"/>
      <c r="M41" s="74"/>
    </row>
    <row r="42" spans="1:14" customFormat="1" x14ac:dyDescent="0.25">
      <c r="A42" s="301"/>
      <c r="B42" s="169" t="s">
        <v>193</v>
      </c>
      <c r="C42" s="154">
        <f t="shared" ref="C42:H42" si="6">C33/$E$11</f>
        <v>3.3333333333333333E-2</v>
      </c>
      <c r="D42" s="155">
        <f t="shared" si="6"/>
        <v>3.3333333333333333E-2</v>
      </c>
      <c r="E42" s="156">
        <f t="shared" si="6"/>
        <v>0</v>
      </c>
      <c r="F42" s="154">
        <f t="shared" si="6"/>
        <v>6.6666666666666666E-2</v>
      </c>
      <c r="G42" s="155">
        <f t="shared" si="6"/>
        <v>0</v>
      </c>
      <c r="H42" s="156">
        <f t="shared" si="6"/>
        <v>0</v>
      </c>
      <c r="I42" s="74"/>
      <c r="J42" s="74"/>
      <c r="K42" s="74"/>
      <c r="L42" s="74"/>
      <c r="M42" s="74"/>
    </row>
    <row r="43" spans="1:14" customFormat="1" x14ac:dyDescent="0.25">
      <c r="A43" s="301"/>
      <c r="B43" s="168" t="s">
        <v>194</v>
      </c>
      <c r="C43" s="151">
        <f t="shared" ref="C43:H43" si="7">C34/$E$11</f>
        <v>3.3333333333333333E-2</v>
      </c>
      <c r="D43" s="152">
        <f t="shared" si="7"/>
        <v>0</v>
      </c>
      <c r="E43" s="153">
        <f t="shared" si="7"/>
        <v>0</v>
      </c>
      <c r="F43" s="151">
        <f t="shared" si="7"/>
        <v>6.6666666666666666E-2</v>
      </c>
      <c r="G43" s="152">
        <f t="shared" si="7"/>
        <v>3.3333333333333333E-2</v>
      </c>
      <c r="H43" s="153">
        <f t="shared" si="7"/>
        <v>0</v>
      </c>
      <c r="I43" s="74"/>
      <c r="J43" s="74"/>
      <c r="K43" s="74"/>
      <c r="L43" s="74"/>
      <c r="M43" s="74"/>
    </row>
    <row r="44" spans="1:14" customFormat="1" x14ac:dyDescent="0.25">
      <c r="A44" s="301"/>
      <c r="B44" s="169" t="s">
        <v>195</v>
      </c>
      <c r="C44" s="154">
        <f t="shared" ref="C44:H44" si="8">C35/$E$11</f>
        <v>0.1</v>
      </c>
      <c r="D44" s="155">
        <f t="shared" si="8"/>
        <v>0</v>
      </c>
      <c r="E44" s="156">
        <f t="shared" si="8"/>
        <v>0</v>
      </c>
      <c r="F44" s="154">
        <f t="shared" si="8"/>
        <v>3.3333333333333333E-2</v>
      </c>
      <c r="G44" s="155">
        <f t="shared" si="8"/>
        <v>3.3333333333333333E-2</v>
      </c>
      <c r="H44" s="156">
        <f t="shared" si="8"/>
        <v>0</v>
      </c>
      <c r="I44" s="74"/>
      <c r="J44" s="74"/>
      <c r="K44" s="74"/>
      <c r="L44" s="74"/>
      <c r="M44" s="74"/>
      <c r="N44" s="74"/>
    </row>
    <row r="45" spans="1:14" customFormat="1" x14ac:dyDescent="0.25">
      <c r="A45" s="301"/>
      <c r="B45" s="168" t="s">
        <v>196</v>
      </c>
      <c r="C45" s="151">
        <f t="shared" ref="C45:H45" si="9">C36/$E$11</f>
        <v>0.13333333333333333</v>
      </c>
      <c r="D45" s="152">
        <f t="shared" si="9"/>
        <v>0</v>
      </c>
      <c r="E45" s="153">
        <f t="shared" si="9"/>
        <v>3.3333333333333333E-2</v>
      </c>
      <c r="F45" s="151">
        <f t="shared" si="9"/>
        <v>3.3333333333333333E-2</v>
      </c>
      <c r="G45" s="152">
        <f t="shared" si="9"/>
        <v>3.3333333333333333E-2</v>
      </c>
      <c r="H45" s="153">
        <f t="shared" si="9"/>
        <v>0</v>
      </c>
      <c r="I45" s="74"/>
      <c r="J45" s="74"/>
      <c r="K45" s="74"/>
      <c r="L45" s="74"/>
      <c r="M45" s="74"/>
      <c r="N45" s="74"/>
    </row>
    <row r="46" spans="1:14" customFormat="1" x14ac:dyDescent="0.25">
      <c r="A46" s="301"/>
      <c r="B46" s="169" t="s">
        <v>190</v>
      </c>
      <c r="C46" s="154">
        <f t="shared" ref="C46:H46" si="10">C37/$E$11</f>
        <v>0</v>
      </c>
      <c r="D46" s="155">
        <f t="shared" si="10"/>
        <v>0</v>
      </c>
      <c r="E46" s="156">
        <f t="shared" si="10"/>
        <v>0</v>
      </c>
      <c r="F46" s="154">
        <f t="shared" si="10"/>
        <v>0.1</v>
      </c>
      <c r="G46" s="155">
        <f t="shared" si="10"/>
        <v>0</v>
      </c>
      <c r="H46" s="156">
        <f t="shared" si="10"/>
        <v>3.3333333333333333E-2</v>
      </c>
      <c r="I46" s="74"/>
      <c r="J46" s="74"/>
      <c r="K46" s="74"/>
      <c r="L46" s="74"/>
      <c r="M46" s="74"/>
      <c r="N46" s="74"/>
    </row>
    <row r="47" spans="1:14" customFormat="1" ht="15.75" thickBot="1" x14ac:dyDescent="0.3">
      <c r="A47" s="302"/>
      <c r="B47" s="170" t="s">
        <v>61</v>
      </c>
      <c r="C47" s="157">
        <f t="shared" ref="C47:H47" si="11">SUM(C40:C46)</f>
        <v>0.3666666666666667</v>
      </c>
      <c r="D47" s="158">
        <f t="shared" si="11"/>
        <v>6.6666666666666666E-2</v>
      </c>
      <c r="E47" s="159">
        <f t="shared" si="11"/>
        <v>3.3333333333333333E-2</v>
      </c>
      <c r="F47" s="157">
        <f t="shared" si="11"/>
        <v>0.3666666666666667</v>
      </c>
      <c r="G47" s="158">
        <f t="shared" si="11"/>
        <v>0.13333333333333333</v>
      </c>
      <c r="H47" s="159">
        <f t="shared" si="11"/>
        <v>3.3333333333333333E-2</v>
      </c>
      <c r="I47" s="74"/>
      <c r="J47" s="74"/>
      <c r="K47" s="74"/>
      <c r="L47" s="74"/>
      <c r="M47" s="74"/>
      <c r="N47" s="74"/>
    </row>
    <row r="48" spans="1:14" customFormat="1" x14ac:dyDescent="0.25">
      <c r="A48" s="146"/>
      <c r="B48" s="171"/>
      <c r="C48" s="146"/>
      <c r="D48" s="146"/>
      <c r="E48" s="146"/>
      <c r="F48" s="146"/>
      <c r="G48" s="146"/>
      <c r="H48" s="146"/>
      <c r="I48" s="74"/>
      <c r="J48" s="74"/>
      <c r="K48" s="74"/>
      <c r="L48" s="74"/>
      <c r="M48" s="74"/>
      <c r="N48" s="74"/>
    </row>
    <row r="49" spans="1:14" ht="15.75" x14ac:dyDescent="0.25">
      <c r="A49" s="282" t="s">
        <v>248</v>
      </c>
      <c r="B49" s="282"/>
      <c r="C49" s="282"/>
      <c r="D49" s="282"/>
      <c r="E49" s="282"/>
      <c r="F49" s="282"/>
      <c r="G49" s="282"/>
      <c r="H49" s="282"/>
      <c r="I49" s="282" t="s">
        <v>248</v>
      </c>
      <c r="J49" s="282"/>
      <c r="K49" s="282"/>
      <c r="L49" s="282"/>
      <c r="M49" s="282"/>
      <c r="N49" s="282"/>
    </row>
    <row r="50" spans="1:14" ht="15.75" thickBot="1" x14ac:dyDescent="0.3">
      <c r="B50" s="162"/>
      <c r="C50" s="77"/>
      <c r="D50" s="77"/>
      <c r="E50" s="77"/>
      <c r="F50" s="77"/>
      <c r="H50" s="77"/>
    </row>
    <row r="51" spans="1:14" x14ac:dyDescent="0.25">
      <c r="A51" s="266" t="s">
        <v>115</v>
      </c>
      <c r="B51" s="287"/>
      <c r="C51" s="289" t="s">
        <v>60</v>
      </c>
      <c r="D51" s="290"/>
      <c r="E51" s="291"/>
      <c r="F51" s="289" t="s">
        <v>225</v>
      </c>
      <c r="G51" s="290"/>
      <c r="H51" s="291"/>
    </row>
    <row r="52" spans="1:14" ht="15.75" thickBot="1" x14ac:dyDescent="0.3">
      <c r="A52" s="268"/>
      <c r="B52" s="288"/>
      <c r="C52" s="79" t="s">
        <v>152</v>
      </c>
      <c r="D52" s="106" t="s">
        <v>153</v>
      </c>
      <c r="E52" s="105" t="s">
        <v>226</v>
      </c>
      <c r="F52" s="79" t="s">
        <v>152</v>
      </c>
      <c r="G52" s="106" t="s">
        <v>153</v>
      </c>
      <c r="H52" s="105" t="s">
        <v>226</v>
      </c>
    </row>
    <row r="53" spans="1:14" ht="48.75" customHeight="1" x14ac:dyDescent="0.25">
      <c r="A53" s="289" t="s">
        <v>241</v>
      </c>
      <c r="B53" s="172" t="s">
        <v>317</v>
      </c>
      <c r="C53" s="89">
        <f>COUNTIFS('Traçabilité et info patient'!C6:AF6,'Menus déroulants'!E2,'Traçabilité et info patient'!C13:AF13,'Menus déroulants'!H2)</f>
        <v>2</v>
      </c>
      <c r="D53" s="90">
        <f>COUNTIFS('Traçabilité et info patient'!$C$6:$AF$6,'Menus déroulants'!E3,'Traçabilité et info patient'!C13:AF13,'Menus déroulants'!H2)</f>
        <v>3</v>
      </c>
      <c r="E53" s="88">
        <f t="shared" ref="E53:E58" si="12">SUM(C53:D53)</f>
        <v>5</v>
      </c>
      <c r="F53" s="91">
        <f t="shared" ref="F53:G58" si="13">C53/$E$11</f>
        <v>6.6666666666666666E-2</v>
      </c>
      <c r="G53" s="92">
        <f t="shared" si="13"/>
        <v>0.1</v>
      </c>
      <c r="H53" s="93">
        <f t="shared" ref="H53:H58" si="14">E53/$E$24</f>
        <v>0.16666666666666666</v>
      </c>
    </row>
    <row r="54" spans="1:14" ht="27" customHeight="1" x14ac:dyDescent="0.25">
      <c r="A54" s="301"/>
      <c r="B54" s="173" t="s">
        <v>239</v>
      </c>
      <c r="C54" s="78">
        <f>COUNTIFS('Traçabilité et info patient'!$C$21:$AF$21,'Menus déroulants'!$J$3,'Traçabilité et info patient'!$C$6:$AF$6,'Menus déroulants'!$E$2)</f>
        <v>13</v>
      </c>
      <c r="D54" s="95">
        <f>COUNTIFS('Traçabilité et info patient'!$C$21:$AF$21,'Menus déroulants'!$J$3,'Traçabilité et info patient'!$C$6:$AF$6,'Menus déroulants'!$E$3)</f>
        <v>16</v>
      </c>
      <c r="E54" s="94">
        <f t="shared" si="12"/>
        <v>29</v>
      </c>
      <c r="F54" s="96">
        <f t="shared" si="13"/>
        <v>0.43333333333333335</v>
      </c>
      <c r="G54" s="97">
        <f t="shared" si="13"/>
        <v>0.53333333333333333</v>
      </c>
      <c r="H54" s="98">
        <f t="shared" si="14"/>
        <v>0.96666666666666667</v>
      </c>
    </row>
    <row r="55" spans="1:14" ht="39" customHeight="1" thickBot="1" x14ac:dyDescent="0.3">
      <c r="A55" s="302"/>
      <c r="B55" s="174" t="s">
        <v>319</v>
      </c>
      <c r="C55" s="125">
        <f>COUNTIFS('Traçabilité et info patient'!C6:AF6,'Menus déroulants'!E2,'Traçabilité et info patient'!C13:AF13,'Menus déroulants'!H2,'Traçabilité et info patient'!C21:AF21,'Menus déroulants'!J3)</f>
        <v>2</v>
      </c>
      <c r="D55" s="120">
        <f>COUNTIFS('Traçabilité et info patient'!$C$6:$AF$6,'Menus déroulants'!E3,'Traçabilité et info patient'!C13:AF13,'Menus déroulants'!H2,'Traçabilité et info patient'!C21:AF21,'Menus déroulants'!J3)</f>
        <v>3</v>
      </c>
      <c r="E55" s="126">
        <f t="shared" si="12"/>
        <v>5</v>
      </c>
      <c r="F55" s="127">
        <f t="shared" si="13"/>
        <v>6.6666666666666666E-2</v>
      </c>
      <c r="G55" s="121">
        <f t="shared" si="13"/>
        <v>0.1</v>
      </c>
      <c r="H55" s="122">
        <f t="shared" si="14"/>
        <v>0.16666666666666666</v>
      </c>
    </row>
    <row r="56" spans="1:14" ht="27.75" customHeight="1" x14ac:dyDescent="0.25">
      <c r="A56" s="289" t="s">
        <v>240</v>
      </c>
      <c r="B56" s="175" t="s">
        <v>321</v>
      </c>
      <c r="C56" s="111">
        <f>COUNTIFS('Traçabilité et info patient'!$C$6:$AF$6,'Menus déroulants'!E$2,'Traçabilité et info patient'!C14:AF14,'Menus déroulants'!$H3)</f>
        <v>4</v>
      </c>
      <c r="D56" s="118">
        <f>COUNTIFS('Traçabilité et info patient'!$C$6:$AF$6,'Menus déroulants'!E$3,'Traçabilité et info patient'!D14:AG14,'Menus déroulants'!$H3)</f>
        <v>2</v>
      </c>
      <c r="E56" s="119">
        <f t="shared" si="12"/>
        <v>6</v>
      </c>
      <c r="F56" s="128">
        <f t="shared" si="13"/>
        <v>0.13333333333333333</v>
      </c>
      <c r="G56" s="123">
        <f t="shared" si="13"/>
        <v>6.6666666666666666E-2</v>
      </c>
      <c r="H56" s="124">
        <f t="shared" si="14"/>
        <v>0.2</v>
      </c>
    </row>
    <row r="57" spans="1:14" x14ac:dyDescent="0.25">
      <c r="A57" s="301"/>
      <c r="B57" s="176" t="s">
        <v>238</v>
      </c>
      <c r="C57" s="100">
        <f>COUNTIFS('Traçabilité et info patient'!$C$21:$AF$21,'Menus déroulants'!$J$2,'Traçabilité et info patient'!$C$6:$AF$6,'Menus déroulants'!$E$2)</f>
        <v>1</v>
      </c>
      <c r="D57" s="101">
        <f>COUNTIFS('Traçabilité et info patient'!$C$21:$AF$21,'Menus déroulants'!$J$2,'Traçabilité et info patient'!$C$6:$AF$6,'Menus déroulants'!$E$3)</f>
        <v>0</v>
      </c>
      <c r="E57" s="99">
        <f t="shared" si="12"/>
        <v>1</v>
      </c>
      <c r="F57" s="102">
        <f t="shared" si="13"/>
        <v>3.3333333333333333E-2</v>
      </c>
      <c r="G57" s="103">
        <f t="shared" si="13"/>
        <v>0</v>
      </c>
      <c r="H57" s="104">
        <f t="shared" si="14"/>
        <v>3.3333333333333333E-2</v>
      </c>
      <c r="I57"/>
      <c r="J57"/>
      <c r="K57"/>
      <c r="L57"/>
      <c r="M57"/>
      <c r="N57"/>
    </row>
    <row r="58" spans="1:14" customFormat="1" ht="23.25" thickBot="1" x14ac:dyDescent="0.3">
      <c r="A58" s="302"/>
      <c r="B58" s="177" t="s">
        <v>318</v>
      </c>
      <c r="C58" s="79">
        <f>COUNTIFS('Traçabilité et info patient'!$C$21:$AF$21,'Menus déroulants'!$J$2,'Traçabilité et info patient'!$C$6:$AF$6,'Menus déroulants'!$E$2,'Traçabilité et info patient'!C14:AF14,'Menus déroulants'!$H3)</f>
        <v>0</v>
      </c>
      <c r="D58" s="106">
        <f>COUNTIFS('Traçabilité et info patient'!$C$21:$AF$21,'Menus déroulants'!$J$2,'Traçabilité et info patient'!$C$6:$AF$6,'Menus déroulants'!$E$3,'Traçabilité et info patient'!D14:AG14,'Menus déroulants'!$H3)</f>
        <v>0</v>
      </c>
      <c r="E58" s="105">
        <f t="shared" si="12"/>
        <v>0</v>
      </c>
      <c r="F58" s="107">
        <f t="shared" si="13"/>
        <v>0</v>
      </c>
      <c r="G58" s="108">
        <f t="shared" si="13"/>
        <v>0</v>
      </c>
      <c r="H58" s="109">
        <f t="shared" si="14"/>
        <v>0</v>
      </c>
      <c r="I58" s="74"/>
      <c r="J58" s="74"/>
      <c r="K58" s="74"/>
      <c r="L58" s="74"/>
      <c r="M58" s="74"/>
      <c r="N58" s="74"/>
    </row>
    <row r="59" spans="1:14" customFormat="1" x14ac:dyDescent="0.25">
      <c r="A59" s="146"/>
      <c r="B59" s="178"/>
      <c r="C59" s="146"/>
      <c r="D59" s="146"/>
      <c r="E59" s="146"/>
      <c r="F59" s="147"/>
      <c r="G59" s="147"/>
      <c r="H59" s="147"/>
      <c r="I59" s="74"/>
      <c r="J59" s="74"/>
      <c r="K59" s="74"/>
      <c r="L59" s="74"/>
      <c r="M59" s="74"/>
      <c r="N59" s="74"/>
    </row>
    <row r="60" spans="1:14" ht="15.75" x14ac:dyDescent="0.25">
      <c r="A60" s="282" t="s">
        <v>450</v>
      </c>
      <c r="B60" s="282"/>
      <c r="C60" s="282"/>
      <c r="D60" s="282"/>
      <c r="E60" s="282"/>
      <c r="F60" s="282"/>
      <c r="G60" s="282"/>
      <c r="H60" s="282"/>
    </row>
    <row r="61" spans="1:14" ht="18.75" customHeight="1" thickBot="1" x14ac:dyDescent="0.3">
      <c r="B61" s="162"/>
      <c r="C61" s="77"/>
      <c r="D61" s="77"/>
      <c r="E61" s="77"/>
      <c r="F61" s="77"/>
      <c r="H61" s="77"/>
    </row>
    <row r="62" spans="1:14" ht="18.75" customHeight="1" x14ac:dyDescent="0.25">
      <c r="A62" s="266" t="s">
        <v>115</v>
      </c>
      <c r="B62" s="287"/>
      <c r="C62" s="289" t="s">
        <v>60</v>
      </c>
      <c r="D62" s="290"/>
      <c r="E62" s="291"/>
      <c r="F62" s="289" t="s">
        <v>225</v>
      </c>
      <c r="G62" s="290"/>
      <c r="H62" s="291"/>
    </row>
    <row r="63" spans="1:14" ht="18.75" customHeight="1" thickBot="1" x14ac:dyDescent="0.3">
      <c r="A63" s="268"/>
      <c r="B63" s="288"/>
      <c r="C63" s="79" t="s">
        <v>152</v>
      </c>
      <c r="D63" s="106" t="s">
        <v>153</v>
      </c>
      <c r="E63" s="105" t="s">
        <v>226</v>
      </c>
      <c r="F63" s="79" t="s">
        <v>152</v>
      </c>
      <c r="G63" s="106" t="s">
        <v>153</v>
      </c>
      <c r="H63" s="105" t="s">
        <v>226</v>
      </c>
      <c r="I63" s="77"/>
    </row>
    <row r="64" spans="1:14" x14ac:dyDescent="0.25">
      <c r="A64" s="289" t="s">
        <v>247</v>
      </c>
      <c r="B64" s="163" t="s">
        <v>157</v>
      </c>
      <c r="C64" s="89">
        <f>COUNTIFS('Traçabilité et info patient'!$C$20:$AF$20,'Données patients'!$B64,'Traçabilité et info patient'!$C$6:$AF$6,'Données patients'!C$10)</f>
        <v>12</v>
      </c>
      <c r="D64" s="90">
        <f>COUNTIFS('Traçabilité et info patient'!$C$20:$AF$20,'Données patients'!$B64,'Traçabilité et info patient'!$C$6:$AF$6,'Données patients'!D$10)</f>
        <v>13</v>
      </c>
      <c r="E64" s="88">
        <f>SUM(C64:D64)</f>
        <v>25</v>
      </c>
      <c r="F64" s="91">
        <f t="shared" ref="F64:H68" si="15">C64/$E$64</f>
        <v>0.48</v>
      </c>
      <c r="G64" s="92">
        <f t="shared" si="15"/>
        <v>0.52</v>
      </c>
      <c r="H64" s="93">
        <f t="shared" si="15"/>
        <v>1</v>
      </c>
      <c r="I64" s="77"/>
    </row>
    <row r="65" spans="1:14" ht="22.5" customHeight="1" x14ac:dyDescent="0.25">
      <c r="A65" s="301"/>
      <c r="B65" s="164" t="s">
        <v>158</v>
      </c>
      <c r="C65" s="78">
        <f>COUNTIFS('Traçabilité et info patient'!$C$20:$AF$20,'Données patients'!$B65,'Traçabilité et info patient'!$C$6:$AF$6,'Données patients'!C$10)</f>
        <v>1</v>
      </c>
      <c r="D65" s="95">
        <f>COUNTIFS('Traçabilité et info patient'!$C$20:$AF$20,'Données patients'!$B65,'Traçabilité et info patient'!$C$6:$AF$6,'Données patients'!D$10)</f>
        <v>0</v>
      </c>
      <c r="E65" s="94">
        <f>SUM(C65:D65)</f>
        <v>1</v>
      </c>
      <c r="F65" s="96">
        <f t="shared" si="15"/>
        <v>0.04</v>
      </c>
      <c r="G65" s="97">
        <f t="shared" si="15"/>
        <v>0</v>
      </c>
      <c r="H65" s="98">
        <f t="shared" si="15"/>
        <v>0.04</v>
      </c>
      <c r="I65"/>
      <c r="J65"/>
      <c r="K65"/>
      <c r="L65"/>
      <c r="M65"/>
      <c r="N65"/>
    </row>
    <row r="66" spans="1:14" x14ac:dyDescent="0.25">
      <c r="A66" s="301"/>
      <c r="B66" s="165" t="s">
        <v>159</v>
      </c>
      <c r="C66" s="100">
        <f>COUNTIFS('Traçabilité et info patient'!$C$20:$AF$20,'Données patients'!$B66,'Traçabilité et info patient'!$C$6:$AF$6,'Données patients'!C$10)</f>
        <v>0</v>
      </c>
      <c r="D66" s="101">
        <f>COUNTIFS('Traçabilité et info patient'!$C$20:$AF$20,'Données patients'!$B66,'Traçabilité et info patient'!$C$6:$AF$6,'Données patients'!D$10)</f>
        <v>1</v>
      </c>
      <c r="E66" s="99">
        <f>SUM(C66:D66)</f>
        <v>1</v>
      </c>
      <c r="F66" s="102">
        <f t="shared" si="15"/>
        <v>0</v>
      </c>
      <c r="G66" s="103">
        <f t="shared" si="15"/>
        <v>0.04</v>
      </c>
      <c r="H66" s="104">
        <f t="shared" si="15"/>
        <v>0.04</v>
      </c>
      <c r="I66"/>
      <c r="J66"/>
      <c r="K66"/>
      <c r="L66"/>
      <c r="M66"/>
      <c r="N66"/>
    </row>
    <row r="67" spans="1:14" x14ac:dyDescent="0.25">
      <c r="A67" s="301"/>
      <c r="B67" s="164" t="s">
        <v>160</v>
      </c>
      <c r="C67" s="78">
        <f>COUNTIFS('Traçabilité et info patient'!$C$20:$AF$20,'Données patients'!$B67,'Traçabilité et info patient'!$C$6:$AF$6,'Données patients'!C$10)</f>
        <v>1</v>
      </c>
      <c r="D67" s="95">
        <f>COUNTIFS('Traçabilité et info patient'!$C$20:$AF$20,'Données patients'!$B67,'Traçabilité et info patient'!$C$6:$AF$6,'Données patients'!D$10)</f>
        <v>1</v>
      </c>
      <c r="E67" s="94">
        <f>SUM(C67:D67)</f>
        <v>2</v>
      </c>
      <c r="F67" s="96">
        <f t="shared" si="15"/>
        <v>0.04</v>
      </c>
      <c r="G67" s="97">
        <f t="shared" si="15"/>
        <v>0.04</v>
      </c>
      <c r="H67" s="98">
        <f t="shared" si="15"/>
        <v>0.08</v>
      </c>
      <c r="I67" s="77"/>
    </row>
    <row r="68" spans="1:14" ht="15.75" thickBot="1" x14ac:dyDescent="0.3">
      <c r="A68" s="302"/>
      <c r="B68" s="179" t="s">
        <v>161</v>
      </c>
      <c r="C68" s="125">
        <f>COUNTIFS('Traçabilité et info patient'!$C$20:$AF$20,'Données patients'!$B68,'Traçabilité et info patient'!$C$6:$AF$6,'Données patients'!C$10)</f>
        <v>0</v>
      </c>
      <c r="D68" s="120">
        <f>COUNTIFS('Traçabilité et info patient'!$C$20:$AF$20,'Données patients'!$B68,'Traçabilité et info patient'!$C$6:$AF$6,'Données patients'!D$10)</f>
        <v>1</v>
      </c>
      <c r="E68" s="126">
        <f>SUM(C68:D68)</f>
        <v>1</v>
      </c>
      <c r="F68" s="127">
        <f t="shared" si="15"/>
        <v>0</v>
      </c>
      <c r="G68" s="121">
        <f t="shared" si="15"/>
        <v>0.04</v>
      </c>
      <c r="H68" s="122">
        <f t="shared" si="15"/>
        <v>0.04</v>
      </c>
      <c r="I68" s="77"/>
    </row>
    <row r="69" spans="1:14" x14ac:dyDescent="0.25">
      <c r="A69" s="196"/>
      <c r="B69" s="161"/>
      <c r="C69"/>
      <c r="D69"/>
      <c r="E69"/>
      <c r="F69"/>
      <c r="G69"/>
      <c r="H69"/>
      <c r="I69" s="77"/>
    </row>
    <row r="70" spans="1:14" ht="36.75" customHeight="1" x14ac:dyDescent="0.25">
      <c r="A70" s="405" t="s">
        <v>451</v>
      </c>
      <c r="B70" s="405"/>
      <c r="C70" s="405"/>
      <c r="D70" s="405"/>
      <c r="E70" s="405"/>
      <c r="F70" s="405"/>
      <c r="G70" s="405"/>
      <c r="H70" s="405"/>
      <c r="I70" s="77"/>
    </row>
    <row r="71" spans="1:14" ht="15.75" thickBot="1" x14ac:dyDescent="0.3">
      <c r="A71" s="197"/>
      <c r="B71" s="161"/>
      <c r="C71"/>
      <c r="D71"/>
      <c r="E71"/>
      <c r="F71"/>
      <c r="G71"/>
      <c r="H71"/>
      <c r="I71" s="77"/>
    </row>
    <row r="72" spans="1:14" ht="15.75" customHeight="1" x14ac:dyDescent="0.25">
      <c r="A72" s="289" t="s">
        <v>115</v>
      </c>
      <c r="B72" s="291"/>
      <c r="C72" s="289" t="s">
        <v>294</v>
      </c>
      <c r="D72" s="290"/>
      <c r="E72" s="290"/>
      <c r="F72" s="290"/>
      <c r="G72" s="290"/>
      <c r="H72" s="291"/>
    </row>
    <row r="73" spans="1:14" ht="54.75" customHeight="1" thickBot="1" x14ac:dyDescent="0.3">
      <c r="A73" s="79" t="s">
        <v>187</v>
      </c>
      <c r="B73" s="166" t="s">
        <v>242</v>
      </c>
      <c r="C73" s="129" t="s">
        <v>291</v>
      </c>
      <c r="D73" s="106" t="s">
        <v>297</v>
      </c>
      <c r="E73" s="191" t="s">
        <v>298</v>
      </c>
      <c r="F73" s="191" t="s">
        <v>299</v>
      </c>
      <c r="G73" s="106" t="s">
        <v>296</v>
      </c>
      <c r="H73" s="192" t="s">
        <v>262</v>
      </c>
    </row>
    <row r="74" spans="1:14" ht="15.75" x14ac:dyDescent="0.25">
      <c r="A74" s="312" t="s">
        <v>191</v>
      </c>
      <c r="B74" s="181" t="s">
        <v>157</v>
      </c>
      <c r="C74" s="138">
        <f>COUNTIFS('Traçabilité et info patient'!$C$21:$AF$21,'Menus déroulants'!$J$3,'Traçabilité et info patient'!$C$7:$AF$7,'Données patients'!$A$74,'Traçabilité et info patient'!$C$20:$AF$20,'Données patients'!$B74,'Traçabilité et info patient'!$C$22:$AF$22,'Menus déroulants'!$K$4)</f>
        <v>0</v>
      </c>
      <c r="D74" s="138">
        <f>COUNTIFS('Traçabilité et info patient'!$C$21:$AF$21,'Menus déroulants'!$J$3,'Traçabilité et info patient'!$C$7:$AF$7,'Données patients'!$A$74,'Traçabilité et info patient'!$C$20:$AF$20,'Données patients'!$B74,'Traçabilité et info patient'!$C$55:$AF$55,'Menus déroulants'!$H$2)</f>
        <v>0</v>
      </c>
      <c r="E74" s="131">
        <f>COUNTIFS('Traçabilité et info patient'!$C$21:$AF$21,'Menus déroulants'!$J$3,'Traçabilité et info patient'!$C$7:$AF$7,'Données patients'!$A$74,'Traçabilité et info patient'!$C$20:$AF$20,'Données patients'!$B74,'Traçabilité et info patient'!$C$63:$AF$63,'Menus déroulants'!$H$2)</f>
        <v>0</v>
      </c>
      <c r="F74" s="138">
        <f>COUNTIFS('Traçabilité et info patient'!$C$21:$AF$21,'Menus déroulants'!$J$3,'Traçabilité et info patient'!$C$7:$AF$7,'Données patients'!$A$74,'Traçabilité et info patient'!$C$20:$AF$20,'Données patients'!$B74,'Traçabilité et info patient'!$C$47:$AF$47,'Menus déroulants'!$K$4)</f>
        <v>0</v>
      </c>
      <c r="G74" s="138">
        <f>COUNTIFS('Traçabilité et info patient'!$C$21:$AF$21,'Menus déroulants'!$J$3,'Traçabilité et info patient'!$C$7:$AF$7,'Données patients'!$A$74,'Traçabilité et info patient'!$C$20:$AF$20,'Données patients'!$B74,'Traçabilité et info patient'!$C$46:$AF$46,'Menus déroulants'!$K$4)</f>
        <v>0</v>
      </c>
      <c r="H74" s="138">
        <f>COUNTIFS('Traçabilité et info patient'!$C$21:$AF$21,'Menus déroulants'!$J$3,'Traçabilité et info patient'!$C$7:$AF$7,'Données patients'!$A$74,'Traçabilité et info patient'!$C$20:$AF$20,'Données patients'!$B74,'Traçabilité et info patient'!$C$45:$AF$45,'Menus déroulants'!$H$2)</f>
        <v>0</v>
      </c>
      <c r="I74" s="282" t="s">
        <v>450</v>
      </c>
      <c r="J74" s="282"/>
      <c r="K74" s="282"/>
      <c r="L74" s="282"/>
      <c r="M74" s="282"/>
      <c r="N74" s="282"/>
    </row>
    <row r="75" spans="1:14" x14ac:dyDescent="0.25">
      <c r="A75" s="313"/>
      <c r="B75" s="182" t="s">
        <v>158</v>
      </c>
      <c r="C75" s="139">
        <f>COUNTIFS('Traçabilité et info patient'!$C$21:$AF$21,'Menus déroulants'!$J$3,'Traçabilité et info patient'!$C$7:$AF$7,'Données patients'!$A$74,'Traçabilité et info patient'!$C$20:$AF$20,'Données patients'!$B75,'Traçabilité et info patient'!$C$22:$AF$22,'Menus déroulants'!$K$4)</f>
        <v>0</v>
      </c>
      <c r="D75" s="139">
        <f>COUNTIFS('Traçabilité et info patient'!$C$21:$AF$21,'Menus déroulants'!$J$3,'Traçabilité et info patient'!$C$7:$AF$7,'Données patients'!$A$74,'Traçabilité et info patient'!$C$20:$AF$20,'Données patients'!$B75,'Traçabilité et info patient'!$C$55:$AF$55,'Menus déroulants'!$H$2)</f>
        <v>0</v>
      </c>
      <c r="E75" s="132">
        <f>COUNTIFS('Traçabilité et info patient'!$C$21:$AF$21,'Menus déroulants'!$J$3,'Traçabilité et info patient'!$C$7:$AF$7,'Données patients'!$A$74,'Traçabilité et info patient'!$C$20:$AF$20,'Données patients'!$B75,'Traçabilité et info patient'!$C$63:$AF$63,'Menus déroulants'!$H$2)</f>
        <v>0</v>
      </c>
      <c r="F75" s="139">
        <f>COUNTIFS('Traçabilité et info patient'!$C$21:$AF$21,'Menus déroulants'!$J$3,'Traçabilité et info patient'!$C$7:$AF$7,'Données patients'!$A$74,'Traçabilité et info patient'!$C$20:$AF$20,'Données patients'!$B75,'Traçabilité et info patient'!$C$47:$AF$47,'Menus déroulants'!$K$4)</f>
        <v>0</v>
      </c>
      <c r="G75" s="139">
        <f>COUNTIFS('Traçabilité et info patient'!$C$21:$AF$21,'Menus déroulants'!$J$3,'Traçabilité et info patient'!$C$7:$AF$7,'Données patients'!$A$74,'Traçabilité et info patient'!$C$20:$AF$20,'Données patients'!$B75,'Traçabilité et info patient'!$C$46:$AF$46,'Menus déroulants'!$K$4)</f>
        <v>0</v>
      </c>
      <c r="H75" s="139">
        <f>COUNTIFS('Traçabilité et info patient'!$C$21:$AF$21,'Menus déroulants'!$J$3,'Traçabilité et info patient'!$C$7:$AF$7,'Données patients'!$A$74,'Traçabilité et info patient'!$C$20:$AF$20,'Données patients'!$B75,'Traçabilité et info patient'!$C$45:$AF$45,'Menus déroulants'!$H$2)</f>
        <v>0</v>
      </c>
    </row>
    <row r="76" spans="1:14" x14ac:dyDescent="0.25">
      <c r="A76" s="313"/>
      <c r="B76" s="183" t="s">
        <v>159</v>
      </c>
      <c r="C76" s="140">
        <f>COUNTIFS('Traçabilité et info patient'!$C$21:$AF$21,'Menus déroulants'!$J$3,'Traçabilité et info patient'!$C$7:$AF$7,'Données patients'!$A$74,'Traçabilité et info patient'!$C$20:$AF$20,'Données patients'!$B76,'Traçabilité et info patient'!$C$22:$AF$22,'Menus déroulants'!$K$4)</f>
        <v>0</v>
      </c>
      <c r="D76" s="140">
        <f>COUNTIFS('Traçabilité et info patient'!$C$21:$AF$21,'Menus déroulants'!$J$3,'Traçabilité et info patient'!$C$7:$AF$7,'Données patients'!$A$74,'Traçabilité et info patient'!$C$20:$AF$20,'Données patients'!$B76,'Traçabilité et info patient'!$C$55:$AF$55,'Menus déroulants'!$H$2)</f>
        <v>0</v>
      </c>
      <c r="E76" s="136">
        <f>COUNTIFS('Traçabilité et info patient'!$C$21:$AF$21,'Menus déroulants'!$J$3,'Traçabilité et info patient'!$C$7:$AF$7,'Données patients'!$A$74,'Traçabilité et info patient'!$C$20:$AF$20,'Données patients'!$B76,'Traçabilité et info patient'!$C$63:$AF$63,'Menus déroulants'!$H$2)</f>
        <v>0</v>
      </c>
      <c r="F76" s="140">
        <f>COUNTIFS('Traçabilité et info patient'!$C$21:$AF$21,'Menus déroulants'!$J$3,'Traçabilité et info patient'!$C$7:$AF$7,'Données patients'!$A$74,'Traçabilité et info patient'!$C$20:$AF$20,'Données patients'!$B76,'Traçabilité et info patient'!$C$47:$AF$47,'Menus déroulants'!$K$4)</f>
        <v>0</v>
      </c>
      <c r="G76" s="140">
        <f>COUNTIFS('Traçabilité et info patient'!$C$21:$AF$21,'Menus déroulants'!$J$3,'Traçabilité et info patient'!$C$7:$AF$7,'Données patients'!$A$74,'Traçabilité et info patient'!$C$20:$AF$20,'Données patients'!$B76,'Traçabilité et info patient'!$C$46:$AF$46,'Menus déroulants'!$K$4)</f>
        <v>0</v>
      </c>
      <c r="H76" s="140">
        <f>COUNTIFS('Traçabilité et info patient'!$C$21:$AF$21,'Menus déroulants'!$J$3,'Traçabilité et info patient'!$C$7:$AF$7,'Données patients'!$A$74,'Traçabilité et info patient'!$C$20:$AF$20,'Données patients'!$B76,'Traçabilité et info patient'!$C$45:$AF$45,'Menus déroulants'!$H$2)</f>
        <v>0</v>
      </c>
    </row>
    <row r="77" spans="1:14" x14ac:dyDescent="0.25">
      <c r="A77" s="313"/>
      <c r="B77" s="182" t="s">
        <v>160</v>
      </c>
      <c r="C77" s="139">
        <f>COUNTIFS('Traçabilité et info patient'!$C$21:$AF$21,'Menus déroulants'!$J$3,'Traçabilité et info patient'!$C$7:$AF$7,'Données patients'!$A$74,'Traçabilité et info patient'!$C$20:$AF$20,'Données patients'!$B77,'Traçabilité et info patient'!$C$22:$AF$22,'Menus déroulants'!$K$4)</f>
        <v>0</v>
      </c>
      <c r="D77" s="139">
        <f>COUNTIFS('Traçabilité et info patient'!$C$21:$AF$21,'Menus déroulants'!$J$3,'Traçabilité et info patient'!$C$7:$AF$7,'Données patients'!$A$74,'Traçabilité et info patient'!$C$20:$AF$20,'Données patients'!$B77,'Traçabilité et info patient'!$C$55:$AF$55,'Menus déroulants'!$H$2)</f>
        <v>0</v>
      </c>
      <c r="E77" s="132">
        <f>COUNTIFS('Traçabilité et info patient'!$C$21:$AF$21,'Menus déroulants'!$J$3,'Traçabilité et info patient'!$C$7:$AF$7,'Données patients'!$A$74,'Traçabilité et info patient'!$C$20:$AF$20,'Données patients'!$B77,'Traçabilité et info patient'!$C$63:$AF$63,'Menus déroulants'!$H$2)</f>
        <v>0</v>
      </c>
      <c r="F77" s="139">
        <f>COUNTIFS('Traçabilité et info patient'!$C$21:$AF$21,'Menus déroulants'!$J$3,'Traçabilité et info patient'!$C$7:$AF$7,'Données patients'!$A$74,'Traçabilité et info patient'!$C$20:$AF$20,'Données patients'!$B77,'Traçabilité et info patient'!$C$47:$AF$47,'Menus déroulants'!$K$4)</f>
        <v>0</v>
      </c>
      <c r="G77" s="139">
        <f>COUNTIFS('Traçabilité et info patient'!$C$21:$AF$21,'Menus déroulants'!$J$3,'Traçabilité et info patient'!$C$7:$AF$7,'Données patients'!$A$74,'Traçabilité et info patient'!$C$20:$AF$20,'Données patients'!$B77,'Traçabilité et info patient'!$C$46:$AF$46,'Menus déroulants'!$K$4)</f>
        <v>0</v>
      </c>
      <c r="H77" s="139">
        <f>COUNTIFS('Traçabilité et info patient'!$C$21:$AF$21,'Menus déroulants'!$J$3,'Traçabilité et info patient'!$C$7:$AF$7,'Données patients'!$A$74,'Traçabilité et info patient'!$C$20:$AF$20,'Données patients'!$B77,'Traçabilité et info patient'!$C$45:$AF$45,'Menus déroulants'!$H$2)</f>
        <v>0</v>
      </c>
    </row>
    <row r="78" spans="1:14" ht="15.75" thickBot="1" x14ac:dyDescent="0.3">
      <c r="A78" s="314"/>
      <c r="B78" s="184" t="s">
        <v>161</v>
      </c>
      <c r="C78" s="141">
        <f>COUNTIFS('Traçabilité et info patient'!$C$21:$AF$21,'Menus déroulants'!$J$3,'Traçabilité et info patient'!$C$7:$AF$7,'Données patients'!$A$74,'Traçabilité et info patient'!$C$20:$AF$20,'Données patients'!$B78,'Traçabilité et info patient'!$C$22:$AF$22,'Menus déroulants'!$K$4)</f>
        <v>0</v>
      </c>
      <c r="D78" s="141">
        <f>COUNTIFS('Traçabilité et info patient'!$C$21:$AF$21,'Menus déroulants'!$J$3,'Traçabilité et info patient'!$C$7:$AF$7,'Données patients'!$A$74,'Traçabilité et info patient'!$C$20:$AF$20,'Données patients'!$B78,'Traçabilité et info patient'!$C$55:$AF$55,'Menus déroulants'!$H$2)</f>
        <v>0</v>
      </c>
      <c r="E78" s="134">
        <f>COUNTIFS('Traçabilité et info patient'!$C$21:$AF$21,'Menus déroulants'!$J$3,'Traçabilité et info patient'!$C$7:$AF$7,'Données patients'!$A$74,'Traçabilité et info patient'!$C$20:$AF$20,'Données patients'!$B78,'Traçabilité et info patient'!$C$63:$AF$63,'Menus déroulants'!$H$2)</f>
        <v>0</v>
      </c>
      <c r="F78" s="141">
        <f>COUNTIFS('Traçabilité et info patient'!$C$21:$AF$21,'Menus déroulants'!$J$3,'Traçabilité et info patient'!$C$7:$AF$7,'Données patients'!$A$74,'Traçabilité et info patient'!$C$20:$AF$20,'Données patients'!$B78,'Traçabilité et info patient'!$C$47:$AF$47,'Menus déroulants'!$K$4)</f>
        <v>0</v>
      </c>
      <c r="G78" s="141">
        <f>COUNTIFS('Traçabilité et info patient'!$C$21:$AF$21,'Menus déroulants'!$J$3,'Traçabilité et info patient'!$C$7:$AF$7,'Données patients'!$A$74,'Traçabilité et info patient'!$C$20:$AF$20,'Données patients'!$B78,'Traçabilité et info patient'!$C$46:$AF$46,'Menus déroulants'!$K$4)</f>
        <v>0</v>
      </c>
      <c r="H78" s="141">
        <f>COUNTIFS('Traçabilité et info patient'!$C$21:$AF$21,'Menus déroulants'!$J$3,'Traçabilité et info patient'!$C$7:$AF$7,'Données patients'!$A$74,'Traçabilité et info patient'!$C$20:$AF$20,'Données patients'!$B78,'Traçabilité et info patient'!$C$45:$AF$45,'Menus déroulants'!$H$2)</f>
        <v>0</v>
      </c>
    </row>
    <row r="79" spans="1:14" x14ac:dyDescent="0.25">
      <c r="A79" s="315" t="s">
        <v>192</v>
      </c>
      <c r="B79" s="181" t="s">
        <v>157</v>
      </c>
      <c r="C79" s="138">
        <f>COUNTIFS('Traçabilité et info patient'!$C$21:$AF$21,'Menus déroulants'!$J$3,'Traçabilité et info patient'!$C$7:$AF$7,'Données patients'!$A$79,'Traçabilité et info patient'!$C$20:$AF$20,'Données patients'!$B79,'Traçabilité et info patient'!$C$22:$AF$22,'Menus déroulants'!$K$4)</f>
        <v>4</v>
      </c>
      <c r="D79" s="138">
        <f>COUNTIFS('Traçabilité et info patient'!$C$21:$AF$21,'Menus déroulants'!$J$3,'Traçabilité et info patient'!$C$7:$AF$7,'Données patients'!$A$79,'Traçabilité et info patient'!$C$20:$AF$20,'Données patients'!$B79,'Traçabilité et info patient'!$C$55:$AF$55,'Menus déroulants'!$H$2)</f>
        <v>4</v>
      </c>
      <c r="E79" s="131">
        <f>COUNTIFS('Traçabilité et info patient'!$C$21:$AF$21,'Menus déroulants'!$J$3,'Traçabilité et info patient'!$C$7:$AF$7,'Données patients'!$A$79,'Traçabilité et info patient'!$C$20:$AF$20,'Données patients'!$B79,'Traçabilité et info patient'!$C$63:$AF$63,'Menus déroulants'!$H$2)</f>
        <v>4</v>
      </c>
      <c r="F79" s="138">
        <f>COUNTIFS('Traçabilité et info patient'!$C$21:$AF$21,'Menus déroulants'!$J$3,'Traçabilité et info patient'!$C$7:$AF$7,'Données patients'!$A$79,'Traçabilité et info patient'!$C$20:$AF$20,'Données patients'!$B79,'Traçabilité et info patient'!$C$47:$AF$47,'Menus déroulants'!$K$4)</f>
        <v>4</v>
      </c>
      <c r="G79" s="138">
        <f>COUNTIFS('Traçabilité et info patient'!$C$21:$AF$21,'Menus déroulants'!$J$3,'Traçabilité et info patient'!$C$7:$AF$7,'Données patients'!$A$79,'Traçabilité et info patient'!$C$20:$AF$20,'Données patients'!$B79,'Traçabilité et info patient'!$C$46:$AF$46,'Menus déroulants'!$K$4)</f>
        <v>3</v>
      </c>
      <c r="H79" s="138">
        <f>COUNTIFS('Traçabilité et info patient'!$C$21:$AF$21,'Menus déroulants'!$J$3,'Traçabilité et info patient'!$C$7:$AF$7,'Données patients'!$A$79,'Traçabilité et info patient'!$C$20:$AF$20,'Données patients'!$B79,'Traçabilité et info patient'!$C$45:$AF$45,'Menus déroulants'!$H$2)</f>
        <v>2</v>
      </c>
    </row>
    <row r="80" spans="1:14" x14ac:dyDescent="0.25">
      <c r="A80" s="316"/>
      <c r="B80" s="182" t="s">
        <v>158</v>
      </c>
      <c r="C80" s="139">
        <f>COUNTIFS('Traçabilité et info patient'!$C$21:$AF$21,'Menus déroulants'!$J$3,'Traçabilité et info patient'!$C$7:$AF$7,'Données patients'!$A$79,'Traçabilité et info patient'!$C$20:$AF$20,'Données patients'!$B80,'Traçabilité et info patient'!$C$22:$AF$22,'Menus déroulants'!$K$4)</f>
        <v>0</v>
      </c>
      <c r="D80" s="139">
        <f>COUNTIFS('Traçabilité et info patient'!$C$21:$AF$21,'Menus déroulants'!$J$3,'Traçabilité et info patient'!$C$7:$AF$7,'Données patients'!$A$79,'Traçabilité et info patient'!$C$20:$AF$20,'Données patients'!$B80,'Traçabilité et info patient'!$C$55:$AF$55,'Menus déroulants'!$H$2)</f>
        <v>0</v>
      </c>
      <c r="E80" s="132">
        <f>COUNTIFS('Traçabilité et info patient'!$C$21:$AF$21,'Menus déroulants'!$J$3,'Traçabilité et info patient'!$C$7:$AF$7,'Données patients'!$A$79,'Traçabilité et info patient'!$C$20:$AF$20,'Données patients'!$B80,'Traçabilité et info patient'!$C$63:$AF$63,'Menus déroulants'!$H$2)</f>
        <v>0</v>
      </c>
      <c r="F80" s="139">
        <f>COUNTIFS('Traçabilité et info patient'!$C$21:$AF$21,'Menus déroulants'!$J$3,'Traçabilité et info patient'!$C$7:$AF$7,'Données patients'!$A$79,'Traçabilité et info patient'!$C$20:$AF$20,'Données patients'!$B80,'Traçabilité et info patient'!$C$47:$AF$47,'Menus déroulants'!$K$4)</f>
        <v>0</v>
      </c>
      <c r="G80" s="139">
        <f>COUNTIFS('Traçabilité et info patient'!$C$21:$AF$21,'Menus déroulants'!$J$3,'Traçabilité et info patient'!$C$7:$AF$7,'Données patients'!$A$79,'Traçabilité et info patient'!$C$20:$AF$20,'Données patients'!$B80,'Traçabilité et info patient'!$C$46:$AF$46,'Menus déroulants'!$K$4)</f>
        <v>0</v>
      </c>
      <c r="H80" s="139">
        <f>COUNTIFS('Traçabilité et info patient'!$C$21:$AF$21,'Menus déroulants'!$J$3,'Traçabilité et info patient'!$C$7:$AF$7,'Données patients'!$A$79,'Traçabilité et info patient'!$C$20:$AF$20,'Données patients'!$B80,'Traçabilité et info patient'!$C$45:$AF$45,'Menus déroulants'!$H$2)</f>
        <v>0</v>
      </c>
    </row>
    <row r="81" spans="1:14" x14ac:dyDescent="0.25">
      <c r="A81" s="316"/>
      <c r="B81" s="183" t="s">
        <v>159</v>
      </c>
      <c r="C81" s="140">
        <f>COUNTIFS('Traçabilité et info patient'!$C$21:$AF$21,'Menus déroulants'!$J$3,'Traçabilité et info patient'!$C$7:$AF$7,'Données patients'!$A$79,'Traçabilité et info patient'!$C$20:$AF$20,'Données patients'!$B81,'Traçabilité et info patient'!$C$22:$AF$22,'Menus déroulants'!$K$4)</f>
        <v>1</v>
      </c>
      <c r="D81" s="140">
        <f>COUNTIFS('Traçabilité et info patient'!$C$21:$AF$21,'Menus déroulants'!$J$3,'Traçabilité et info patient'!$C$7:$AF$7,'Données patients'!$A$79,'Traçabilité et info patient'!$C$20:$AF$20,'Données patients'!$B81,'Traçabilité et info patient'!$C$55:$AF$55,'Menus déroulants'!$H$2)</f>
        <v>1</v>
      </c>
      <c r="E81" s="136">
        <f>COUNTIFS('Traçabilité et info patient'!$C$21:$AF$21,'Menus déroulants'!$J$3,'Traçabilité et info patient'!$C$7:$AF$7,'Données patients'!$A$79,'Traçabilité et info patient'!$C$20:$AF$20,'Données patients'!$B81,'Traçabilité et info patient'!$C$63:$AF$63,'Menus déroulants'!$H$2)</f>
        <v>1</v>
      </c>
      <c r="F81" s="140">
        <f>COUNTIFS('Traçabilité et info patient'!$C$21:$AF$21,'Menus déroulants'!$J$3,'Traçabilité et info patient'!$C$7:$AF$7,'Données patients'!$A$79,'Traçabilité et info patient'!$C$20:$AF$20,'Données patients'!$B81,'Traçabilité et info patient'!$C$47:$AF$47,'Menus déroulants'!$K$4)</f>
        <v>1</v>
      </c>
      <c r="G81" s="140">
        <f>COUNTIFS('Traçabilité et info patient'!$C$21:$AF$21,'Menus déroulants'!$J$3,'Traçabilité et info patient'!$C$7:$AF$7,'Données patients'!$A$79,'Traçabilité et info patient'!$C$20:$AF$20,'Données patients'!$B81,'Traçabilité et info patient'!$C$46:$AF$46,'Menus déroulants'!$K$4)</f>
        <v>0</v>
      </c>
      <c r="H81" s="140">
        <f>COUNTIFS('Traçabilité et info patient'!$C$21:$AF$21,'Menus déroulants'!$J$3,'Traçabilité et info patient'!$C$7:$AF$7,'Données patients'!$A$79,'Traçabilité et info patient'!$C$20:$AF$20,'Données patients'!$B81,'Traçabilité et info patient'!$C$45:$AF$45,'Menus déroulants'!$H$2)</f>
        <v>1</v>
      </c>
    </row>
    <row r="82" spans="1:14" x14ac:dyDescent="0.25">
      <c r="A82" s="316"/>
      <c r="B82" s="182" t="s">
        <v>160</v>
      </c>
      <c r="C82" s="139">
        <f>COUNTIFS('Traçabilité et info patient'!$C$21:$AF$21,'Menus déroulants'!$J$3,'Traçabilité et info patient'!$C$7:$AF$7,'Données patients'!$A$79,'Traçabilité et info patient'!$C$20:$AF$20,'Données patients'!$B82,'Traçabilité et info patient'!$C$22:$AF$22,'Menus déroulants'!$K$4)</f>
        <v>0</v>
      </c>
      <c r="D82" s="139">
        <f>COUNTIFS('Traçabilité et info patient'!$C$21:$AF$21,'Menus déroulants'!$J$3,'Traçabilité et info patient'!$C$7:$AF$7,'Données patients'!$A$79,'Traçabilité et info patient'!$C$20:$AF$20,'Données patients'!$B82,'Traçabilité et info patient'!$C$55:$AF$55,'Menus déroulants'!$H$2)</f>
        <v>0</v>
      </c>
      <c r="E82" s="132">
        <f>COUNTIFS('Traçabilité et info patient'!$C$21:$AF$21,'Menus déroulants'!$J$3,'Traçabilité et info patient'!$C$7:$AF$7,'Données patients'!$A$79,'Traçabilité et info patient'!$C$20:$AF$20,'Données patients'!$B82,'Traçabilité et info patient'!$C$63:$AF$63,'Menus déroulants'!$H$2)</f>
        <v>0</v>
      </c>
      <c r="F82" s="139">
        <f>COUNTIFS('Traçabilité et info patient'!$C$21:$AF$21,'Menus déroulants'!$J$3,'Traçabilité et info patient'!$C$7:$AF$7,'Données patients'!$A$79,'Traçabilité et info patient'!$C$20:$AF$20,'Données patients'!$B82,'Traçabilité et info patient'!$C$47:$AF$47,'Menus déroulants'!$K$4)</f>
        <v>0</v>
      </c>
      <c r="G82" s="139">
        <f>COUNTIFS('Traçabilité et info patient'!$C$21:$AF$21,'Menus déroulants'!$J$3,'Traçabilité et info patient'!$C$7:$AF$7,'Données patients'!$A$79,'Traçabilité et info patient'!$C$20:$AF$20,'Données patients'!$B82,'Traçabilité et info patient'!$C$46:$AF$46,'Menus déroulants'!$K$4)</f>
        <v>0</v>
      </c>
      <c r="H82" s="139">
        <f>COUNTIFS('Traçabilité et info patient'!$C$21:$AF$21,'Menus déroulants'!$J$3,'Traçabilité et info patient'!$C$7:$AF$7,'Données patients'!$A$79,'Traçabilité et info patient'!$C$20:$AF$20,'Données patients'!$B82,'Traçabilité et info patient'!$C$45:$AF$45,'Menus déroulants'!$H$2)</f>
        <v>0</v>
      </c>
    </row>
    <row r="83" spans="1:14" ht="15.75" thickBot="1" x14ac:dyDescent="0.3">
      <c r="A83" s="317"/>
      <c r="B83" s="184" t="s">
        <v>161</v>
      </c>
      <c r="C83" s="141">
        <f>COUNTIFS('Traçabilité et info patient'!$C$21:$AF$21,'Menus déroulants'!$J$3,'Traçabilité et info patient'!$C$7:$AF$7,'Données patients'!$A$79,'Traçabilité et info patient'!$C$20:$AF$20,'Données patients'!$B83,'Traçabilité et info patient'!$C$22:$AF$22,'Menus déroulants'!$K$4)</f>
        <v>0</v>
      </c>
      <c r="D83" s="141">
        <f>COUNTIFS('Traçabilité et info patient'!$C$21:$AF$21,'Menus déroulants'!$J$3,'Traçabilité et info patient'!$C$7:$AF$7,'Données patients'!$A$79,'Traçabilité et info patient'!$C$20:$AF$20,'Données patients'!$B83,'Traçabilité et info patient'!$C$55:$AF$55,'Menus déroulants'!$H$2)</f>
        <v>0</v>
      </c>
      <c r="E83" s="134">
        <f>COUNTIFS('Traçabilité et info patient'!$C$21:$AF$21,'Menus déroulants'!$J$3,'Traçabilité et info patient'!$C$7:$AF$7,'Données patients'!$A$79,'Traçabilité et info patient'!$C$20:$AF$20,'Données patients'!$B83,'Traçabilité et info patient'!$C$63:$AF$63,'Menus déroulants'!$H$2)</f>
        <v>0</v>
      </c>
      <c r="F83" s="141">
        <f>COUNTIFS('Traçabilité et info patient'!$C$21:$AF$21,'Menus déroulants'!$J$3,'Traçabilité et info patient'!$C$7:$AF$7,'Données patients'!$A$79,'Traçabilité et info patient'!$C$20:$AF$20,'Données patients'!$B83,'Traçabilité et info patient'!$C$47:$AF$47,'Menus déroulants'!$K$4)</f>
        <v>0</v>
      </c>
      <c r="G83" s="141">
        <f>COUNTIFS('Traçabilité et info patient'!$C$21:$AF$21,'Menus déroulants'!$J$3,'Traçabilité et info patient'!$C$7:$AF$7,'Données patients'!$A$79,'Traçabilité et info patient'!$C$20:$AF$20,'Données patients'!$B83,'Traçabilité et info patient'!$C$46:$AF$46,'Menus déroulants'!$K$4)</f>
        <v>0</v>
      </c>
      <c r="H83" s="141">
        <f>COUNTIFS('Traçabilité et info patient'!$C$21:$AF$21,'Menus déroulants'!$J$3,'Traçabilité et info patient'!$C$7:$AF$7,'Données patients'!$A$79,'Traçabilité et info patient'!$C$20:$AF$20,'Données patients'!$B83,'Traçabilité et info patient'!$C$45:$AF$45,'Menus déroulants'!$H$2)</f>
        <v>0</v>
      </c>
    </row>
    <row r="84" spans="1:14" ht="15.75" thickBot="1" x14ac:dyDescent="0.3">
      <c r="A84" s="294" t="s">
        <v>193</v>
      </c>
      <c r="B84" s="181" t="s">
        <v>157</v>
      </c>
      <c r="C84" s="138">
        <f>COUNTIFS('Traçabilité et info patient'!$C$21:$AF$21,'Menus déroulants'!$J$3,'Traçabilité et info patient'!$C$7:$AF$7,'Données patients'!$A$84,'Traçabilité et info patient'!$C$20:$AF$20,'Données patients'!$B84,'Traçabilité et info patient'!$C$22:$AF$22,'Menus déroulants'!$K$4)</f>
        <v>3</v>
      </c>
      <c r="D84" s="138">
        <f>COUNTIFS('Traçabilité et info patient'!$C$21:$AF$21,'Menus déroulants'!$J$3,'Traçabilité et info patient'!$C$7:$AF$7,'Données patients'!$A$84,'Traçabilité et info patient'!$C$20:$AF$20,'Données patients'!$B84,'Traçabilité et info patient'!$C$55:$AF$55,'Menus déroulants'!$H$2)</f>
        <v>3</v>
      </c>
      <c r="E84" s="131">
        <f>COUNTIFS('Traçabilité et info patient'!$C$21:$AF$21,'Menus déroulants'!$J$3,'Traçabilité et info patient'!$C$7:$AF$7,'Données patients'!$A$84,'Traçabilité et info patient'!$C$20:$AF$20,'Données patients'!$B84,'Traçabilité et info patient'!$C$63:$AF$63,'Menus déroulants'!$H$2)</f>
        <v>3</v>
      </c>
      <c r="F84" s="138">
        <f>COUNTIFS('Traçabilité et info patient'!$C$21:$AF$21,'Menus déroulants'!$J$3,'Traçabilité et info patient'!$C$7:$AF$7,'Données patients'!$A$84,'Traçabilité et info patient'!$C$20:$AF$20,'Données patients'!$B84,'Traçabilité et info patient'!$C$47:$AF$47,'Menus déroulants'!$K$4)</f>
        <v>3</v>
      </c>
      <c r="G84" s="138">
        <f>COUNTIFS('Traçabilité et info patient'!$C$21:$AF$21,'Menus déroulants'!$J$3,'Traçabilité et info patient'!$C$7:$AF$7,'Données patients'!$A$84,'Traçabilité et info patient'!$C$20:$AF$20,'Données patients'!$B84,'Traçabilité et info patient'!$C$46:$AF$46,'Menus déroulants'!$K$4)</f>
        <v>2</v>
      </c>
      <c r="H84" s="138">
        <f>COUNTIFS('Traçabilité et info patient'!$C$21:$AF$21,'Menus déroulants'!$J$3,'Traçabilité et info patient'!$C$7:$AF$7,'Données patients'!$A$84,'Traçabilité et info patient'!$C$20:$AF$20,'Données patients'!$B84,'Traçabilité et info patient'!$C$45:$AF$45,'Menus déroulants'!$H$2)</f>
        <v>2</v>
      </c>
    </row>
    <row r="85" spans="1:14" ht="15.75" thickBot="1" x14ac:dyDescent="0.3">
      <c r="A85" s="294"/>
      <c r="B85" s="182" t="s">
        <v>158</v>
      </c>
      <c r="C85" s="139">
        <f>COUNTIFS('Traçabilité et info patient'!$C$21:$AF$21,'Menus déroulants'!$J$3,'Traçabilité et info patient'!$C$7:$AF$7,'Données patients'!$A$84,'Traçabilité et info patient'!$C$20:$AF$20,'Données patients'!$B85,'Traçabilité et info patient'!$C$22:$AF$22,'Menus déroulants'!$K$4)</f>
        <v>0</v>
      </c>
      <c r="D85" s="139">
        <f>COUNTIFS('Traçabilité et info patient'!$C$21:$AF$21,'Menus déroulants'!$J$3,'Traçabilité et info patient'!$C$7:$AF$7,'Données patients'!$A$84,'Traçabilité et info patient'!$C$20:$AF$20,'Données patients'!$B85,'Traçabilité et info patient'!$C$55:$AF$55,'Menus déroulants'!$H$2)</f>
        <v>0</v>
      </c>
      <c r="E85" s="132">
        <f>COUNTIFS('Traçabilité et info patient'!$C$21:$AF$21,'Menus déroulants'!$J$3,'Traçabilité et info patient'!$C$7:$AF$7,'Données patients'!$A$84,'Traçabilité et info patient'!$C$20:$AF$20,'Données patients'!$B85,'Traçabilité et info patient'!$C$63:$AF$63,'Menus déroulants'!$H$2)</f>
        <v>0</v>
      </c>
      <c r="F85" s="139">
        <f>COUNTIFS('Traçabilité et info patient'!$C$21:$AF$21,'Menus déroulants'!$J$3,'Traçabilité et info patient'!$C$7:$AF$7,'Données patients'!$A$84,'Traçabilité et info patient'!$C$20:$AF$20,'Données patients'!$B85,'Traçabilité et info patient'!$C$47:$AF$47,'Menus déroulants'!$K$4)</f>
        <v>0</v>
      </c>
      <c r="G85" s="139">
        <f>COUNTIFS('Traçabilité et info patient'!$C$21:$AF$21,'Menus déroulants'!$J$3,'Traçabilité et info patient'!$C$7:$AF$7,'Données patients'!$A$84,'Traçabilité et info patient'!$C$20:$AF$20,'Données patients'!$B85,'Traçabilité et info patient'!$C$46:$AF$46,'Menus déroulants'!$K$4)</f>
        <v>0</v>
      </c>
      <c r="H85" s="139">
        <f>COUNTIFS('Traçabilité et info patient'!$C$21:$AF$21,'Menus déroulants'!$J$3,'Traçabilité et info patient'!$C$7:$AF$7,'Données patients'!$A$84,'Traçabilité et info patient'!$C$20:$AF$20,'Données patients'!$B85,'Traçabilité et info patient'!$C$45:$AF$45,'Menus déroulants'!$H$2)</f>
        <v>0</v>
      </c>
    </row>
    <row r="86" spans="1:14" ht="15.75" thickBot="1" x14ac:dyDescent="0.3">
      <c r="A86" s="294"/>
      <c r="B86" s="183" t="s">
        <v>159</v>
      </c>
      <c r="C86" s="140">
        <f>COUNTIFS('Traçabilité et info patient'!$C$21:$AF$21,'Menus déroulants'!$J$3,'Traçabilité et info patient'!$C$7:$AF$7,'Données patients'!$A$84,'Traçabilité et info patient'!$C$20:$AF$20,'Données patients'!$B86,'Traçabilité et info patient'!$C$22:$AF$22,'Menus déroulants'!$K$4)</f>
        <v>0</v>
      </c>
      <c r="D86" s="140">
        <f>COUNTIFS('Traçabilité et info patient'!$C$21:$AF$21,'Menus déroulants'!$J$3,'Traçabilité et info patient'!$C$7:$AF$7,'Données patients'!$A$84,'Traçabilité et info patient'!$C$20:$AF$20,'Données patients'!$B86,'Traçabilité et info patient'!$C$55:$AF$55,'Menus déroulants'!$H$2)</f>
        <v>0</v>
      </c>
      <c r="E86" s="136">
        <f>COUNTIFS('Traçabilité et info patient'!$C$21:$AF$21,'Menus déroulants'!$J$3,'Traçabilité et info patient'!$C$7:$AF$7,'Données patients'!$A$84,'Traçabilité et info patient'!$C$20:$AF$20,'Données patients'!$B86,'Traçabilité et info patient'!$C$63:$AF$63,'Menus déroulants'!$H$2)</f>
        <v>0</v>
      </c>
      <c r="F86" s="140">
        <f>COUNTIFS('Traçabilité et info patient'!$C$21:$AF$21,'Menus déroulants'!$J$3,'Traçabilité et info patient'!$C$7:$AF$7,'Données patients'!$A$84,'Traçabilité et info patient'!$C$20:$AF$20,'Données patients'!$B86,'Traçabilité et info patient'!$C$47:$AF$47,'Menus déroulants'!$K$4)</f>
        <v>0</v>
      </c>
      <c r="G86" s="140">
        <f>COUNTIFS('Traçabilité et info patient'!$C$21:$AF$21,'Menus déroulants'!$J$3,'Traçabilité et info patient'!$C$7:$AF$7,'Données patients'!$A$84,'Traçabilité et info patient'!$C$20:$AF$20,'Données patients'!$B86,'Traçabilité et info patient'!$C$46:$AF$46,'Menus déroulants'!$K$4)</f>
        <v>0</v>
      </c>
      <c r="H86" s="140">
        <f>COUNTIFS('Traçabilité et info patient'!$C$21:$AF$21,'Menus déroulants'!$J$3,'Traçabilité et info patient'!$C$7:$AF$7,'Données patients'!$A$84,'Traçabilité et info patient'!$C$20:$AF$20,'Données patients'!$B86,'Traçabilité et info patient'!$C$45:$AF$45,'Menus déroulants'!$H$2)</f>
        <v>0</v>
      </c>
    </row>
    <row r="87" spans="1:14" ht="15.75" thickBot="1" x14ac:dyDescent="0.3">
      <c r="A87" s="294"/>
      <c r="B87" s="182" t="s">
        <v>160</v>
      </c>
      <c r="C87" s="139">
        <f>COUNTIFS('Traçabilité et info patient'!$C$21:$AF$21,'Menus déroulants'!$J$3,'Traçabilité et info patient'!$C$7:$AF$7,'Données patients'!$A$84,'Traçabilité et info patient'!$C$20:$AF$20,'Données patients'!$B87,'Traçabilité et info patient'!$C$22:$AF$22,'Menus déroulants'!$K$4)</f>
        <v>1</v>
      </c>
      <c r="D87" s="139">
        <f>COUNTIFS('Traçabilité et info patient'!$C$21:$AF$21,'Menus déroulants'!$J$3,'Traçabilité et info patient'!$C$7:$AF$7,'Données patients'!$A$84,'Traçabilité et info patient'!$C$20:$AF$20,'Données patients'!$B87,'Traçabilité et info patient'!$C$55:$AF$55,'Menus déroulants'!$H$2)</f>
        <v>1</v>
      </c>
      <c r="E87" s="132">
        <f>COUNTIFS('Traçabilité et info patient'!$C$21:$AF$21,'Menus déroulants'!$J$3,'Traçabilité et info patient'!$C$7:$AF$7,'Données patients'!$A$84,'Traçabilité et info patient'!$C$20:$AF$20,'Données patients'!$B87,'Traçabilité et info patient'!$C$63:$AF$63,'Menus déroulants'!$H$2)</f>
        <v>1</v>
      </c>
      <c r="F87" s="139">
        <f>COUNTIFS('Traçabilité et info patient'!$C$21:$AF$21,'Menus déroulants'!$J$3,'Traçabilité et info patient'!$C$7:$AF$7,'Données patients'!$A$84,'Traçabilité et info patient'!$C$20:$AF$20,'Données patients'!$B87,'Traçabilité et info patient'!$C$47:$AF$47,'Menus déroulants'!$K$4)</f>
        <v>1</v>
      </c>
      <c r="G87" s="139">
        <f>COUNTIFS('Traçabilité et info patient'!$C$21:$AF$21,'Menus déroulants'!$J$3,'Traçabilité et info patient'!$C$7:$AF$7,'Données patients'!$A$84,'Traçabilité et info patient'!$C$20:$AF$20,'Données patients'!$B87,'Traçabilité et info patient'!$C$46:$AF$46,'Menus déroulants'!$K$4)</f>
        <v>0</v>
      </c>
      <c r="H87" s="139">
        <f>COUNTIFS('Traçabilité et info patient'!$C$21:$AF$21,'Menus déroulants'!$J$3,'Traçabilité et info patient'!$C$7:$AF$7,'Données patients'!$A$84,'Traçabilité et info patient'!$C$20:$AF$20,'Données patients'!$B87,'Traçabilité et info patient'!$C$45:$AF$45,'Menus déroulants'!$H$2)</f>
        <v>0</v>
      </c>
    </row>
    <row r="88" spans="1:14" ht="15.75" thickBot="1" x14ac:dyDescent="0.3">
      <c r="A88" s="294"/>
      <c r="B88" s="184" t="s">
        <v>161</v>
      </c>
      <c r="C88" s="141">
        <f>COUNTIFS('Traçabilité et info patient'!$C$21:$AF$21,'Menus déroulants'!$J$3,'Traçabilité et info patient'!$C$7:$AF$7,'Données patients'!$A$84,'Traçabilité et info patient'!$C$20:$AF$20,'Données patients'!$B88,'Traçabilité et info patient'!$C$22:$AF$22,'Menus déroulants'!$K$4)</f>
        <v>0</v>
      </c>
      <c r="D88" s="141">
        <f>COUNTIFS('Traçabilité et info patient'!$C$21:$AF$21,'Menus déroulants'!$J$3,'Traçabilité et info patient'!$C$7:$AF$7,'Données patients'!$A$84,'Traçabilité et info patient'!$C$20:$AF$20,'Données patients'!$B88,'Traçabilité et info patient'!$C$55:$AF$55,'Menus déroulants'!$H$2)</f>
        <v>0</v>
      </c>
      <c r="E88" s="134">
        <f>COUNTIFS('Traçabilité et info patient'!$C$21:$AF$21,'Menus déroulants'!$J$3,'Traçabilité et info patient'!$C$7:$AF$7,'Données patients'!$A$84,'Traçabilité et info patient'!$C$20:$AF$20,'Données patients'!$B88,'Traçabilité et info patient'!$C$63:$AF$63,'Menus déroulants'!$H$2)</f>
        <v>0</v>
      </c>
      <c r="F88" s="141">
        <f>COUNTIFS('Traçabilité et info patient'!$C$21:$AF$21,'Menus déroulants'!$J$3,'Traçabilité et info patient'!$C$7:$AF$7,'Données patients'!$A$84,'Traçabilité et info patient'!$C$20:$AF$20,'Données patients'!$B88,'Traçabilité et info patient'!$C$47:$AF$47,'Menus déroulants'!$K$4)</f>
        <v>0</v>
      </c>
      <c r="G88" s="141">
        <f>COUNTIFS('Traçabilité et info patient'!$C$21:$AF$21,'Menus déroulants'!$J$3,'Traçabilité et info patient'!$C$7:$AF$7,'Données patients'!$A$84,'Traçabilité et info patient'!$C$20:$AF$20,'Données patients'!$B88,'Traçabilité et info patient'!$C$46:$AF$46,'Menus déroulants'!$K$4)</f>
        <v>0</v>
      </c>
      <c r="H88" s="141">
        <f>COUNTIFS('Traçabilité et info patient'!$C$21:$AF$21,'Menus déroulants'!$J$3,'Traçabilité et info patient'!$C$7:$AF$7,'Données patients'!$A$84,'Traçabilité et info patient'!$C$20:$AF$20,'Données patients'!$B88,'Traçabilité et info patient'!$C$45:$AF$45,'Menus déroulants'!$H$2)</f>
        <v>0</v>
      </c>
      <c r="I88" s="311" t="s">
        <v>451</v>
      </c>
      <c r="J88" s="311"/>
      <c r="K88" s="311"/>
      <c r="L88" s="311"/>
      <c r="M88" s="311"/>
      <c r="N88" s="311"/>
    </row>
    <row r="89" spans="1:14" ht="15.75" thickBot="1" x14ac:dyDescent="0.3">
      <c r="A89" s="293" t="s">
        <v>194</v>
      </c>
      <c r="B89" s="181" t="s">
        <v>157</v>
      </c>
      <c r="C89" s="138">
        <f>COUNTIFS('Traçabilité et info patient'!$C$21:$AF$21,'Menus déroulants'!$J$3,'Traçabilité et info patient'!$C$7:$AF$7,'Données patients'!$A$89,'Traçabilité et info patient'!$C$20:$AF$20,'Données patients'!$B89,'Traçabilité et info patient'!$C$22:$AF$22,'Menus déroulants'!$K$4)</f>
        <v>3</v>
      </c>
      <c r="D89" s="138">
        <f>COUNTIFS('Traçabilité et info patient'!$C$21:$AF$21,'Menus déroulants'!$J$3,'Traçabilité et info patient'!$C$7:$AF$7,'Données patients'!$A$89,'Traçabilité et info patient'!$C$20:$AF$20,'Données patients'!$B89,'Traçabilité et info patient'!$C$55:$AF$55,'Menus déroulants'!$H$2)</f>
        <v>3</v>
      </c>
      <c r="E89" s="131">
        <f>COUNTIFS('Traçabilité et info patient'!$C$21:$AF$21,'Menus déroulants'!$J$3,'Traçabilité et info patient'!$C$7:$AF$7,'Données patients'!$A$89,'Traçabilité et info patient'!$C$20:$AF$20,'Données patients'!$B89,'Traçabilité et info patient'!$C$63:$AF$63,'Menus déroulants'!$H$2)</f>
        <v>3</v>
      </c>
      <c r="F89" s="138">
        <f>COUNTIFS('Traçabilité et info patient'!$C$21:$AF$21,'Menus déroulants'!$J$3,'Traçabilité et info patient'!$C$7:$AF$7,'Données patients'!$A$89,'Traçabilité et info patient'!$C$20:$AF$20,'Données patients'!$B89,'Traçabilité et info patient'!$C$47:$AF$47,'Menus déroulants'!$K$4)</f>
        <v>3</v>
      </c>
      <c r="G89" s="138">
        <f>COUNTIFS('Traçabilité et info patient'!$C$21:$AF$21,'Menus déroulants'!$J$3,'Traçabilité et info patient'!$C$7:$AF$7,'Données patients'!$A$89,'Traçabilité et info patient'!$C$20:$AF$20,'Données patients'!$B89,'Traçabilité et info patient'!$C$46:$AF$46,'Menus déroulants'!$K$4)</f>
        <v>1</v>
      </c>
      <c r="H89" s="138">
        <f>COUNTIFS('Traçabilité et info patient'!$C$21:$AF$21,'Menus déroulants'!$J$3,'Traçabilité et info patient'!$C$7:$AF$7,'Données patients'!$A$89,'Traçabilité et info patient'!$C$20:$AF$20,'Données patients'!$B89,'Traçabilité et info patient'!$C$45:$AF$45,'Menus déroulants'!$H$2)</f>
        <v>1</v>
      </c>
    </row>
    <row r="90" spans="1:14" ht="15.75" thickBot="1" x14ac:dyDescent="0.3">
      <c r="A90" s="293"/>
      <c r="B90" s="182" t="s">
        <v>158</v>
      </c>
      <c r="C90" s="139">
        <f>COUNTIFS('Traçabilité et info patient'!$C$21:$AF$21,'Menus déroulants'!$J$3,'Traçabilité et info patient'!$C$7:$AF$7,'Données patients'!$A$89,'Traçabilité et info patient'!$C$20:$AF$20,'Données patients'!$B90,'Traçabilité et info patient'!$C$22:$AF$22,'Menus déroulants'!$K$4)</f>
        <v>0</v>
      </c>
      <c r="D90" s="139">
        <f>COUNTIFS('Traçabilité et info patient'!$C$21:$AF$21,'Menus déroulants'!$J$3,'Traçabilité et info patient'!$C$7:$AF$7,'Données patients'!$A$89,'Traçabilité et info patient'!$C$20:$AF$20,'Données patients'!$B90,'Traçabilité et info patient'!$C$55:$AF$55,'Menus déroulants'!$H$2)</f>
        <v>0</v>
      </c>
      <c r="E90" s="132">
        <f>COUNTIFS('Traçabilité et info patient'!$C$21:$AF$21,'Menus déroulants'!$J$3,'Traçabilité et info patient'!$C$7:$AF$7,'Données patients'!$A$89,'Traçabilité et info patient'!$C$20:$AF$20,'Données patients'!$B90,'Traçabilité et info patient'!$C$63:$AF$63,'Menus déroulants'!$H$2)</f>
        <v>0</v>
      </c>
      <c r="F90" s="139">
        <f>COUNTIFS('Traçabilité et info patient'!$C$21:$AF$21,'Menus déroulants'!$J$3,'Traçabilité et info patient'!$C$7:$AF$7,'Données patients'!$A$89,'Traçabilité et info patient'!$C$20:$AF$20,'Données patients'!$B90,'Traçabilité et info patient'!$C$47:$AF$47,'Menus déroulants'!$K$4)</f>
        <v>0</v>
      </c>
      <c r="G90" s="139">
        <f>COUNTIFS('Traçabilité et info patient'!$C$21:$AF$21,'Menus déroulants'!$J$3,'Traçabilité et info patient'!$C$7:$AF$7,'Données patients'!$A$89,'Traçabilité et info patient'!$C$20:$AF$20,'Données patients'!$B90,'Traçabilité et info patient'!$C$46:$AF$46,'Menus déroulants'!$K$4)</f>
        <v>0</v>
      </c>
      <c r="H90" s="139">
        <f>COUNTIFS('Traçabilité et info patient'!$C$21:$AF$21,'Menus déroulants'!$J$3,'Traçabilité et info patient'!$C$7:$AF$7,'Données patients'!$A$89,'Traçabilité et info patient'!$C$20:$AF$20,'Données patients'!$B90,'Traçabilité et info patient'!$C$45:$AF$45,'Menus déroulants'!$H$2)</f>
        <v>0</v>
      </c>
      <c r="I90" s="77"/>
    </row>
    <row r="91" spans="1:14" ht="15.75" thickBot="1" x14ac:dyDescent="0.3">
      <c r="A91" s="293"/>
      <c r="B91" s="183" t="s">
        <v>159</v>
      </c>
      <c r="C91" s="140">
        <f>COUNTIFS('Traçabilité et info patient'!$C$21:$AF$21,'Menus déroulants'!$J$3,'Traçabilité et info patient'!$C$7:$AF$7,'Données patients'!$A$89,'Traçabilité et info patient'!$C$20:$AF$20,'Données patients'!$B91,'Traçabilité et info patient'!$C$22:$AF$22,'Menus déroulants'!$K$4)</f>
        <v>0</v>
      </c>
      <c r="D91" s="140">
        <f>COUNTIFS('Traçabilité et info patient'!$C$21:$AF$21,'Menus déroulants'!$J$3,'Traçabilité et info patient'!$C$7:$AF$7,'Données patients'!$A$89,'Traçabilité et info patient'!$C$20:$AF$20,'Données patients'!$B91,'Traçabilité et info patient'!$C$55:$AF$55,'Menus déroulants'!$H$2)</f>
        <v>0</v>
      </c>
      <c r="E91" s="136">
        <f>COUNTIFS('Traçabilité et info patient'!$C$21:$AF$21,'Menus déroulants'!$J$3,'Traçabilité et info patient'!$C$7:$AF$7,'Données patients'!$A$89,'Traçabilité et info patient'!$C$20:$AF$20,'Données patients'!$B91,'Traçabilité et info patient'!$C$63:$AF$63,'Menus déroulants'!$H$2)</f>
        <v>0</v>
      </c>
      <c r="F91" s="140">
        <f>COUNTIFS('Traçabilité et info patient'!$C$21:$AF$21,'Menus déroulants'!$J$3,'Traçabilité et info patient'!$C$7:$AF$7,'Données patients'!$A$89,'Traçabilité et info patient'!$C$20:$AF$20,'Données patients'!$B91,'Traçabilité et info patient'!$C$47:$AF$47,'Menus déroulants'!$K$4)</f>
        <v>0</v>
      </c>
      <c r="G91" s="140">
        <f>COUNTIFS('Traçabilité et info patient'!$C$21:$AF$21,'Menus déroulants'!$J$3,'Traçabilité et info patient'!$C$7:$AF$7,'Données patients'!$A$89,'Traçabilité et info patient'!$C$20:$AF$20,'Données patients'!$B91,'Traçabilité et info patient'!$C$46:$AF$46,'Menus déroulants'!$K$4)</f>
        <v>0</v>
      </c>
      <c r="H91" s="140">
        <f>COUNTIFS('Traçabilité et info patient'!$C$21:$AF$21,'Menus déroulants'!$J$3,'Traçabilité et info patient'!$C$7:$AF$7,'Données patients'!$A$89,'Traçabilité et info patient'!$C$20:$AF$20,'Données patients'!$B91,'Traçabilité et info patient'!$C$45:$AF$45,'Menus déroulants'!$H$2)</f>
        <v>0</v>
      </c>
      <c r="I91" s="77"/>
    </row>
    <row r="92" spans="1:14" ht="15.75" thickBot="1" x14ac:dyDescent="0.3">
      <c r="A92" s="293"/>
      <c r="B92" s="182" t="s">
        <v>160</v>
      </c>
      <c r="C92" s="139">
        <f>COUNTIFS('Traçabilité et info patient'!$C$21:$AF$21,'Menus déroulants'!$J$3,'Traçabilité et info patient'!$C$7:$AF$7,'Données patients'!$A$89,'Traçabilité et info patient'!$C$20:$AF$20,'Données patients'!$B92,'Traçabilité et info patient'!$C$22:$AF$22,'Menus déroulants'!$K$4)</f>
        <v>0</v>
      </c>
      <c r="D92" s="139">
        <f>COUNTIFS('Traçabilité et info patient'!$C$21:$AF$21,'Menus déroulants'!$J$3,'Traçabilité et info patient'!$C$7:$AF$7,'Données patients'!$A$89,'Traçabilité et info patient'!$C$20:$AF$20,'Données patients'!$B92,'Traçabilité et info patient'!$C$55:$AF$55,'Menus déroulants'!$H$2)</f>
        <v>0</v>
      </c>
      <c r="E92" s="132">
        <f>COUNTIFS('Traçabilité et info patient'!$C$21:$AF$21,'Menus déroulants'!$J$3,'Traçabilité et info patient'!$C$7:$AF$7,'Données patients'!$A$89,'Traçabilité et info patient'!$C$20:$AF$20,'Données patients'!$B92,'Traçabilité et info patient'!$C$63:$AF$63,'Menus déroulants'!$H$2)</f>
        <v>0</v>
      </c>
      <c r="F92" s="139">
        <f>COUNTIFS('Traçabilité et info patient'!$C$21:$AF$21,'Menus déroulants'!$J$3,'Traçabilité et info patient'!$C$7:$AF$7,'Données patients'!$A$89,'Traçabilité et info patient'!$C$20:$AF$20,'Données patients'!$B92,'Traçabilité et info patient'!$C$47:$AF$47,'Menus déroulants'!$K$4)</f>
        <v>0</v>
      </c>
      <c r="G92" s="139">
        <f>COUNTIFS('Traçabilité et info patient'!$C$21:$AF$21,'Menus déroulants'!$J$3,'Traçabilité et info patient'!$C$7:$AF$7,'Données patients'!$A$89,'Traçabilité et info patient'!$C$20:$AF$20,'Données patients'!$B92,'Traçabilité et info patient'!$C$46:$AF$46,'Menus déroulants'!$K$4)</f>
        <v>0</v>
      </c>
      <c r="H92" s="139">
        <f>COUNTIFS('Traçabilité et info patient'!$C$21:$AF$21,'Menus déroulants'!$J$3,'Traçabilité et info patient'!$C$7:$AF$7,'Données patients'!$A$89,'Traçabilité et info patient'!$C$20:$AF$20,'Données patients'!$B92,'Traçabilité et info patient'!$C$45:$AF$45,'Menus déroulants'!$H$2)</f>
        <v>0</v>
      </c>
      <c r="I92" s="77"/>
    </row>
    <row r="93" spans="1:14" ht="15.75" thickBot="1" x14ac:dyDescent="0.3">
      <c r="A93" s="293"/>
      <c r="B93" s="184" t="s">
        <v>161</v>
      </c>
      <c r="C93" s="141">
        <f>COUNTIFS('Traçabilité et info patient'!$C$21:$AF$21,'Menus déroulants'!$J$3,'Traçabilité et info patient'!$C$7:$AF$7,'Données patients'!$A$89,'Traçabilité et info patient'!$C$20:$AF$20,'Données patients'!$B93,'Traçabilité et info patient'!$C$22:$AF$22,'Menus déroulants'!$K$4)</f>
        <v>1</v>
      </c>
      <c r="D93" s="141">
        <f>COUNTIFS('Traçabilité et info patient'!$C$21:$AF$21,'Menus déroulants'!$J$3,'Traçabilité et info patient'!$C$7:$AF$7,'Données patients'!$A$89,'Traçabilité et info patient'!$C$20:$AF$20,'Données patients'!$B93,'Traçabilité et info patient'!$C$55:$AF$55,'Menus déroulants'!$H$2)</f>
        <v>1</v>
      </c>
      <c r="E93" s="134">
        <f>COUNTIFS('Traçabilité et info patient'!$C$21:$AF$21,'Menus déroulants'!$J$3,'Traçabilité et info patient'!$C$7:$AF$7,'Données patients'!$A$89,'Traçabilité et info patient'!$C$20:$AF$20,'Données patients'!$B93,'Traçabilité et info patient'!$C$63:$AF$63,'Menus déroulants'!$H$2)</f>
        <v>1</v>
      </c>
      <c r="F93" s="141">
        <f>COUNTIFS('Traçabilité et info patient'!$C$21:$AF$21,'Menus déroulants'!$J$3,'Traçabilité et info patient'!$C$7:$AF$7,'Données patients'!$A$89,'Traçabilité et info patient'!$C$20:$AF$20,'Données patients'!$B93,'Traçabilité et info patient'!$C$47:$AF$47,'Menus déroulants'!$K$4)</f>
        <v>1</v>
      </c>
      <c r="G93" s="141">
        <f>COUNTIFS('Traçabilité et info patient'!$C$21:$AF$21,'Menus déroulants'!$J$3,'Traçabilité et info patient'!$C$7:$AF$7,'Données patients'!$A$89,'Traçabilité et info patient'!$C$20:$AF$20,'Données patients'!$B93,'Traçabilité et info patient'!$C$46:$AF$46,'Menus déroulants'!$K$4)</f>
        <v>1</v>
      </c>
      <c r="H93" s="141">
        <f>COUNTIFS('Traçabilité et info patient'!$C$21:$AF$21,'Menus déroulants'!$J$3,'Traçabilité et info patient'!$C$7:$AF$7,'Données patients'!$A$89,'Traçabilité et info patient'!$C$20:$AF$20,'Données patients'!$B93,'Traçabilité et info patient'!$C$45:$AF$45,'Menus déroulants'!$H$2)</f>
        <v>1</v>
      </c>
    </row>
    <row r="94" spans="1:14" ht="15.75" thickBot="1" x14ac:dyDescent="0.3">
      <c r="A94" s="294" t="s">
        <v>195</v>
      </c>
      <c r="B94" s="181" t="s">
        <v>157</v>
      </c>
      <c r="C94" s="138">
        <f>COUNTIFS('Traçabilité et info patient'!$C$21:$AF$21,'Menus déroulants'!$J$3,'Traçabilité et info patient'!$C$7:$AF$7,'Données patients'!$A$94,'Traçabilité et info patient'!$C$20:$AF$20,'Données patients'!$B94,'Traçabilité et info patient'!$C$22:$AF$22,'Menus déroulants'!$K$4)</f>
        <v>4</v>
      </c>
      <c r="D94" s="138">
        <f>COUNTIFS('Traçabilité et info patient'!$C$21:$AF$21,'Menus déroulants'!$J$3,'Traçabilité et info patient'!$C$7:$AF$7,'Données patients'!$A$94,'Traçabilité et info patient'!$C$20:$AF$20,'Données patients'!$B94,'Traçabilité et info patient'!$C$55:$AF$55,'Menus déroulants'!$H$2)</f>
        <v>4</v>
      </c>
      <c r="E94" s="131">
        <f>COUNTIFS('Traçabilité et info patient'!$C$21:$AF$21,'Menus déroulants'!$J$3,'Traçabilité et info patient'!$C$7:$AF$7,'Données patients'!$A$94,'Traçabilité et info patient'!$C$20:$AF$20,'Données patients'!$B94,'Traçabilité et info patient'!$C$63:$AF$63,'Menus déroulants'!$H$2)</f>
        <v>4</v>
      </c>
      <c r="F94" s="138">
        <f>COUNTIFS('Traçabilité et info patient'!$C$21:$AF$21,'Menus déroulants'!$J$3,'Traçabilité et info patient'!$C$7:$AF$7,'Données patients'!$A$94,'Traçabilité et info patient'!$C$20:$AF$20,'Données patients'!$B94,'Traçabilité et info patient'!$C$47:$AF$47,'Menus déroulants'!$K$4)</f>
        <v>4</v>
      </c>
      <c r="G94" s="138">
        <f>COUNTIFS('Traçabilité et info patient'!$C$21:$AF$21,'Menus déroulants'!$J$3,'Traçabilité et info patient'!$C$7:$AF$7,'Données patients'!$A$94,'Traçabilité et info patient'!$C$20:$AF$20,'Données patients'!$B94,'Traçabilité et info patient'!$C$46:$AF$46,'Menus déroulants'!$K$4)</f>
        <v>2</v>
      </c>
      <c r="H94" s="138">
        <f>COUNTIFS('Traçabilité et info patient'!$C$21:$AF$21,'Menus déroulants'!$J$3,'Traçabilité et info patient'!$C$7:$AF$7,'Données patients'!$A$94,'Traçabilité et info patient'!$C$20:$AF$20,'Données patients'!$B94,'Traçabilité et info patient'!$C$45:$AF$45,'Menus déroulants'!$H$2)</f>
        <v>3</v>
      </c>
    </row>
    <row r="95" spans="1:14" ht="15.75" thickBot="1" x14ac:dyDescent="0.3">
      <c r="A95" s="294"/>
      <c r="B95" s="182" t="s">
        <v>158</v>
      </c>
      <c r="C95" s="139">
        <f>COUNTIFS('Traçabilité et info patient'!$C$21:$AF$21,'Menus déroulants'!$J$3,'Traçabilité et info patient'!$C$7:$AF$7,'Données patients'!$A$94,'Traçabilité et info patient'!$C$20:$AF$20,'Données patients'!$B95,'Traçabilité et info patient'!$C$22:$AF$22,'Menus déroulants'!$K$4)</f>
        <v>1</v>
      </c>
      <c r="D95" s="139">
        <f>COUNTIFS('Traçabilité et info patient'!$C$21:$AF$21,'Menus déroulants'!$J$3,'Traçabilité et info patient'!$C$7:$AF$7,'Données patients'!$A$94,'Traçabilité et info patient'!$C$20:$AF$20,'Données patients'!$B95,'Traçabilité et info patient'!$C$55:$AF$55,'Menus déroulants'!$H$2)</f>
        <v>1</v>
      </c>
      <c r="E95" s="132">
        <f>COUNTIFS('Traçabilité et info patient'!$C$21:$AF$21,'Menus déroulants'!$J$3,'Traçabilité et info patient'!$C$7:$AF$7,'Données patients'!$A$94,'Traçabilité et info patient'!$C$20:$AF$20,'Données patients'!$B95,'Traçabilité et info patient'!$C$63:$AF$63,'Menus déroulants'!$H$2)</f>
        <v>1</v>
      </c>
      <c r="F95" s="139">
        <f>COUNTIFS('Traçabilité et info patient'!$C$21:$AF$21,'Menus déroulants'!$J$3,'Traçabilité et info patient'!$C$7:$AF$7,'Données patients'!$A$94,'Traçabilité et info patient'!$C$20:$AF$20,'Données patients'!$B95,'Traçabilité et info patient'!$C$47:$AF$47,'Menus déroulants'!$K$4)</f>
        <v>1</v>
      </c>
      <c r="G95" s="139">
        <f>COUNTIFS('Traçabilité et info patient'!$C$21:$AF$21,'Menus déroulants'!$J$3,'Traçabilité et info patient'!$C$7:$AF$7,'Données patients'!$A$94,'Traçabilité et info patient'!$C$20:$AF$20,'Données patients'!$B95,'Traçabilité et info patient'!$C$46:$AF$46,'Menus déroulants'!$K$4)</f>
        <v>1</v>
      </c>
      <c r="H95" s="139">
        <f>COUNTIFS('Traçabilité et info patient'!$C$21:$AF$21,'Menus déroulants'!$J$3,'Traçabilité et info patient'!$C$7:$AF$7,'Données patients'!$A$94,'Traçabilité et info patient'!$C$20:$AF$20,'Données patients'!$B95,'Traçabilité et info patient'!$C$45:$AF$45,'Menus déroulants'!$H$2)</f>
        <v>0</v>
      </c>
      <c r="I95"/>
      <c r="J95"/>
      <c r="K95"/>
      <c r="L95"/>
      <c r="M95"/>
      <c r="N95"/>
    </row>
    <row r="96" spans="1:14" ht="15.75" thickBot="1" x14ac:dyDescent="0.3">
      <c r="A96" s="294"/>
      <c r="B96" s="183" t="s">
        <v>159</v>
      </c>
      <c r="C96" s="140">
        <f>COUNTIFS('Traçabilité et info patient'!$C$21:$AF$21,'Menus déroulants'!$J$3,'Traçabilité et info patient'!$C$7:$AF$7,'Données patients'!$A$94,'Traçabilité et info patient'!$C$20:$AF$20,'Données patients'!$B96,'Traçabilité et info patient'!$C$22:$AF$22,'Menus déroulants'!$K$4)</f>
        <v>0</v>
      </c>
      <c r="D96" s="140">
        <f>COUNTIFS('Traçabilité et info patient'!$C$21:$AF$21,'Menus déroulants'!$J$3,'Traçabilité et info patient'!$C$7:$AF$7,'Données patients'!$A$94,'Traçabilité et info patient'!$C$20:$AF$20,'Données patients'!$B96,'Traçabilité et info patient'!$C$55:$AF$55,'Menus déroulants'!$H$2)</f>
        <v>0</v>
      </c>
      <c r="E96" s="136">
        <f>COUNTIFS('Traçabilité et info patient'!$C$21:$AF$21,'Menus déroulants'!$J$3,'Traçabilité et info patient'!$C$7:$AF$7,'Données patients'!$A$94,'Traçabilité et info patient'!$C$20:$AF$20,'Données patients'!$B96,'Traçabilité et info patient'!$C$63:$AF$63,'Menus déroulants'!$H$2)</f>
        <v>0</v>
      </c>
      <c r="F96" s="140">
        <f>COUNTIFS('Traçabilité et info patient'!$C$21:$AF$21,'Menus déroulants'!$J$3,'Traçabilité et info patient'!$C$7:$AF$7,'Données patients'!$A$94,'Traçabilité et info patient'!$C$20:$AF$20,'Données patients'!$B96,'Traçabilité et info patient'!$C$47:$AF$47,'Menus déroulants'!$K$4)</f>
        <v>0</v>
      </c>
      <c r="G96" s="140">
        <f>COUNTIFS('Traçabilité et info patient'!$C$21:$AF$21,'Menus déroulants'!$J$3,'Traçabilité et info patient'!$C$7:$AF$7,'Données patients'!$A$94,'Traçabilité et info patient'!$C$20:$AF$20,'Données patients'!$B96,'Traçabilité et info patient'!$C$46:$AF$46,'Menus déroulants'!$K$4)</f>
        <v>0</v>
      </c>
      <c r="H96" s="140">
        <f>COUNTIFS('Traçabilité et info patient'!$C$21:$AF$21,'Menus déroulants'!$J$3,'Traçabilité et info patient'!$C$7:$AF$7,'Données patients'!$A$94,'Traçabilité et info patient'!$C$20:$AF$20,'Données patients'!$B96,'Traçabilité et info patient'!$C$45:$AF$45,'Menus déroulants'!$H$2)</f>
        <v>0</v>
      </c>
    </row>
    <row r="97" spans="1:8" ht="15.75" thickBot="1" x14ac:dyDescent="0.3">
      <c r="A97" s="294"/>
      <c r="B97" s="182" t="s">
        <v>160</v>
      </c>
      <c r="C97" s="139">
        <f>COUNTIFS('Traçabilité et info patient'!$C$21:$AF$21,'Menus déroulants'!$J$3,'Traçabilité et info patient'!$C$7:$AF$7,'Données patients'!$A$94,'Traçabilité et info patient'!$C$20:$AF$20,'Données patients'!$B97,'Traçabilité et info patient'!$C$22:$AF$22,'Menus déroulants'!$K$4)</f>
        <v>0</v>
      </c>
      <c r="D97" s="139">
        <f>COUNTIFS('Traçabilité et info patient'!$C$21:$AF$21,'Menus déroulants'!$J$3,'Traçabilité et info patient'!$C$7:$AF$7,'Données patients'!$A$94,'Traçabilité et info patient'!$C$20:$AF$20,'Données patients'!$B97,'Traçabilité et info patient'!$C$55:$AF$55,'Menus déroulants'!$H$2)</f>
        <v>0</v>
      </c>
      <c r="E97" s="132">
        <f>COUNTIFS('Traçabilité et info patient'!$C$21:$AF$21,'Menus déroulants'!$J$3,'Traçabilité et info patient'!$C$7:$AF$7,'Données patients'!$A$94,'Traçabilité et info patient'!$C$20:$AF$20,'Données patients'!$B97,'Traçabilité et info patient'!$C$63:$AF$63,'Menus déroulants'!$H$2)</f>
        <v>0</v>
      </c>
      <c r="F97" s="139">
        <f>COUNTIFS('Traçabilité et info patient'!$C$21:$AF$21,'Menus déroulants'!$J$3,'Traçabilité et info patient'!$C$7:$AF$7,'Données patients'!$A$94,'Traçabilité et info patient'!$C$20:$AF$20,'Données patients'!$B97,'Traçabilité et info patient'!$C$47:$AF$47,'Menus déroulants'!$K$4)</f>
        <v>0</v>
      </c>
      <c r="G97" s="139">
        <f>COUNTIFS('Traçabilité et info patient'!$C$21:$AF$21,'Menus déroulants'!$J$3,'Traçabilité et info patient'!$C$7:$AF$7,'Données patients'!$A$94,'Traçabilité et info patient'!$C$20:$AF$20,'Données patients'!$B97,'Traçabilité et info patient'!$C$46:$AF$46,'Menus déroulants'!$K$4)</f>
        <v>0</v>
      </c>
      <c r="H97" s="139">
        <f>COUNTIFS('Traçabilité et info patient'!$C$21:$AF$21,'Menus déroulants'!$J$3,'Traçabilité et info patient'!$C$7:$AF$7,'Données patients'!$A$94,'Traçabilité et info patient'!$C$20:$AF$20,'Données patients'!$B97,'Traçabilité et info patient'!$C$45:$AF$45,'Menus déroulants'!$H$2)</f>
        <v>0</v>
      </c>
    </row>
    <row r="98" spans="1:8" ht="15.75" thickBot="1" x14ac:dyDescent="0.3">
      <c r="A98" s="294"/>
      <c r="B98" s="184" t="s">
        <v>161</v>
      </c>
      <c r="C98" s="141">
        <f>COUNTIFS('Traçabilité et info patient'!$C$21:$AF$21,'Menus déroulants'!$J$3,'Traçabilité et info patient'!$C$7:$AF$7,'Données patients'!$A$94,'Traçabilité et info patient'!$C$20:$AF$20,'Données patients'!$B98,'Traçabilité et info patient'!$C$22:$AF$22,'Menus déroulants'!$K$4)</f>
        <v>0</v>
      </c>
      <c r="D98" s="141">
        <f>COUNTIFS('Traçabilité et info patient'!$C$21:$AF$21,'Menus déroulants'!$J$3,'Traçabilité et info patient'!$C$7:$AF$7,'Données patients'!$A$94,'Traçabilité et info patient'!$C$20:$AF$20,'Données patients'!$B98,'Traçabilité et info patient'!$C$55:$AF$55,'Menus déroulants'!$H$2)</f>
        <v>0</v>
      </c>
      <c r="E98" s="134">
        <f>COUNTIFS('Traçabilité et info patient'!$C$21:$AF$21,'Menus déroulants'!$J$3,'Traçabilité et info patient'!$C$7:$AF$7,'Données patients'!$A$94,'Traçabilité et info patient'!$C$20:$AF$20,'Données patients'!$B98,'Traçabilité et info patient'!$C$63:$AF$63,'Menus déroulants'!$H$2)</f>
        <v>0</v>
      </c>
      <c r="F98" s="141">
        <f>COUNTIFS('Traçabilité et info patient'!$C$21:$AF$21,'Menus déroulants'!$J$3,'Traçabilité et info patient'!$C$7:$AF$7,'Données patients'!$A$94,'Traçabilité et info patient'!$C$20:$AF$20,'Données patients'!$B98,'Traçabilité et info patient'!$C$47:$AF$47,'Menus déroulants'!$K$4)</f>
        <v>0</v>
      </c>
      <c r="G98" s="141">
        <f>COUNTIFS('Traçabilité et info patient'!$C$21:$AF$21,'Menus déroulants'!$J$3,'Traçabilité et info patient'!$C$7:$AF$7,'Données patients'!$A$94,'Traçabilité et info patient'!$C$20:$AF$20,'Données patients'!$B98,'Traçabilité et info patient'!$C$46:$AF$46,'Menus déroulants'!$K$4)</f>
        <v>0</v>
      </c>
      <c r="H98" s="141">
        <f>COUNTIFS('Traçabilité et info patient'!$C$21:$AF$21,'Menus déroulants'!$J$3,'Traçabilité et info patient'!$C$7:$AF$7,'Données patients'!$A$94,'Traçabilité et info patient'!$C$20:$AF$20,'Données patients'!$B98,'Traçabilité et info patient'!$C$45:$AF$45,'Menus déroulants'!$H$2)</f>
        <v>0</v>
      </c>
    </row>
    <row r="99" spans="1:8" ht="15.75" thickBot="1" x14ac:dyDescent="0.3">
      <c r="A99" s="293" t="s">
        <v>196</v>
      </c>
      <c r="B99" s="181" t="s">
        <v>157</v>
      </c>
      <c r="C99" s="138">
        <f>COUNTIFS('Traçabilité et info patient'!$C$21:$AF$21,'Menus déroulants'!$J$3,'Traçabilité et info patient'!$C$7:$AF$7,'Données patients'!$A$99,'Traçabilité et info patient'!$C$20:$AF$20,'Données patients'!$B99,'Traçabilité et info patient'!$C$22:$AF$22,'Menus déroulants'!$K$4)</f>
        <v>6</v>
      </c>
      <c r="D99" s="138">
        <f>COUNTIFS('Traçabilité et info patient'!$C$21:$AF$21,'Menus déroulants'!$J$3,'Traçabilité et info patient'!$C$7:$AF$7,'Données patients'!$A$99,'Traçabilité et info patient'!$C$20:$AF$20,'Données patients'!$B99,'Traçabilité et info patient'!$C$55:$AF$55,'Menus déroulants'!$H$2)</f>
        <v>6</v>
      </c>
      <c r="E99" s="131">
        <f>COUNTIFS('Traçabilité et info patient'!$C$21:$AF$21,'Menus déroulants'!$J$3,'Traçabilité et info patient'!$C$7:$AF$7,'Données patients'!$A$99,'Traçabilité et info patient'!$C$20:$AF$20,'Données patients'!$B99,'Traçabilité et info patient'!$C$63:$AF$63,'Menus déroulants'!$H$2)</f>
        <v>6</v>
      </c>
      <c r="F99" s="138">
        <f>COUNTIFS('Traçabilité et info patient'!$C$21:$AF$21,'Menus déroulants'!$J$3,'Traçabilité et info patient'!$C$7:$AF$7,'Données patients'!$A$99,'Traçabilité et info patient'!$C$20:$AF$20,'Données patients'!$B99,'Traçabilité et info patient'!$C$47:$AF$47,'Menus déroulants'!$K$4)</f>
        <v>6</v>
      </c>
      <c r="G99" s="138">
        <f>COUNTIFS('Traçabilité et info patient'!$C$21:$AF$21,'Menus déroulants'!$J$3,'Traçabilité et info patient'!$C$7:$AF$7,'Données patients'!$A$99,'Traçabilité et info patient'!$C$20:$AF$20,'Données patients'!$B99,'Traçabilité et info patient'!$C$46:$AF$46,'Menus déroulants'!$K$4)</f>
        <v>4</v>
      </c>
      <c r="H99" s="138">
        <f>COUNTIFS('Traçabilité et info patient'!$C$21:$AF$21,'Menus déroulants'!$J$3,'Traçabilité et info patient'!$C$7:$AF$7,'Données patients'!$A$99,'Traçabilité et info patient'!$C$20:$AF$20,'Données patients'!$B99,'Traçabilité et info patient'!$C$45:$AF$45,'Menus déroulants'!$H$2)</f>
        <v>1</v>
      </c>
    </row>
    <row r="100" spans="1:8" ht="15.75" thickBot="1" x14ac:dyDescent="0.3">
      <c r="A100" s="293"/>
      <c r="B100" s="182" t="s">
        <v>158</v>
      </c>
      <c r="C100" s="139">
        <f>COUNTIFS('Traçabilité et info patient'!$C$21:$AF$21,'Menus déroulants'!$J$3,'Traçabilité et info patient'!$C$7:$AF$7,'Données patients'!$A$99,'Traçabilité et info patient'!$C$20:$AF$20,'Données patients'!$B100,'Traçabilité et info patient'!$C$22:$AF$22,'Menus déroulants'!$K$4)</f>
        <v>0</v>
      </c>
      <c r="D100" s="139">
        <f>COUNTIFS('Traçabilité et info patient'!$C$21:$AF$21,'Menus déroulants'!$J$3,'Traçabilité et info patient'!$C$7:$AF$7,'Données patients'!$A$99,'Traçabilité et info patient'!$C$20:$AF$20,'Données patients'!$B100,'Traçabilité et info patient'!$C$55:$AF$55,'Menus déroulants'!$H$2)</f>
        <v>0</v>
      </c>
      <c r="E100" s="132">
        <f>COUNTIFS('Traçabilité et info patient'!$C$21:$AF$21,'Menus déroulants'!$J$3,'Traçabilité et info patient'!$C$7:$AF$7,'Données patients'!$A$99,'Traçabilité et info patient'!$C$20:$AF$20,'Données patients'!$B100,'Traçabilité et info patient'!$C$63:$AF$63,'Menus déroulants'!$H$2)</f>
        <v>0</v>
      </c>
      <c r="F100" s="139">
        <f>COUNTIFS('Traçabilité et info patient'!$C$21:$AF$21,'Menus déroulants'!$J$3,'Traçabilité et info patient'!$C$7:$AF$7,'Données patients'!$A$99,'Traçabilité et info patient'!$C$20:$AF$20,'Données patients'!$B100,'Traçabilité et info patient'!$C$47:$AF$47,'Menus déroulants'!$K$4)</f>
        <v>0</v>
      </c>
      <c r="G100" s="139">
        <f>COUNTIFS('Traçabilité et info patient'!$C$21:$AF$21,'Menus déroulants'!$J$3,'Traçabilité et info patient'!$C$7:$AF$7,'Données patients'!$A$99,'Traçabilité et info patient'!$C$20:$AF$20,'Données patients'!$B100,'Traçabilité et info patient'!$C$46:$AF$46,'Menus déroulants'!$K$4)</f>
        <v>0</v>
      </c>
      <c r="H100" s="139">
        <f>COUNTIFS('Traçabilité et info patient'!$C$21:$AF$21,'Menus déroulants'!$J$3,'Traçabilité et info patient'!$C$7:$AF$7,'Données patients'!$A$99,'Traçabilité et info patient'!$C$20:$AF$20,'Données patients'!$B100,'Traçabilité et info patient'!$C$45:$AF$45,'Menus déroulants'!$H$2)</f>
        <v>0</v>
      </c>
    </row>
    <row r="101" spans="1:8" ht="15.75" thickBot="1" x14ac:dyDescent="0.3">
      <c r="A101" s="293"/>
      <c r="B101" s="183" t="s">
        <v>159</v>
      </c>
      <c r="C101" s="140">
        <f>COUNTIFS('Traçabilité et info patient'!$C$21:$AF$21,'Menus déroulants'!$J$3,'Traçabilité et info patient'!$C$7:$AF$7,'Données patients'!$A$99,'Traçabilité et info patient'!$C$20:$AF$20,'Données patients'!$B101,'Traçabilité et info patient'!$C$22:$AF$22,'Menus déroulants'!$K$4)</f>
        <v>0</v>
      </c>
      <c r="D101" s="140">
        <f>COUNTIFS('Traçabilité et info patient'!$C$21:$AF$21,'Menus déroulants'!$J$3,'Traçabilité et info patient'!$C$7:$AF$7,'Données patients'!$A$99,'Traçabilité et info patient'!$C$20:$AF$20,'Données patients'!$B101,'Traçabilité et info patient'!$C$55:$AF$55,'Menus déroulants'!$H$2)</f>
        <v>0</v>
      </c>
      <c r="E101" s="136">
        <f>COUNTIFS('Traçabilité et info patient'!$C$21:$AF$21,'Menus déroulants'!$J$3,'Traçabilité et info patient'!$C$7:$AF$7,'Données patients'!$A$99,'Traçabilité et info patient'!$C$20:$AF$20,'Données patients'!$B101,'Traçabilité et info patient'!$C$63:$AF$63,'Menus déroulants'!$H$2)</f>
        <v>0</v>
      </c>
      <c r="F101" s="140">
        <f>COUNTIFS('Traçabilité et info patient'!$C$21:$AF$21,'Menus déroulants'!$J$3,'Traçabilité et info patient'!$C$7:$AF$7,'Données patients'!$A$99,'Traçabilité et info patient'!$C$20:$AF$20,'Données patients'!$B101,'Traçabilité et info patient'!$C$47:$AF$47,'Menus déroulants'!$K$4)</f>
        <v>0</v>
      </c>
      <c r="G101" s="140">
        <f>COUNTIFS('Traçabilité et info patient'!$C$21:$AF$21,'Menus déroulants'!$J$3,'Traçabilité et info patient'!$C$7:$AF$7,'Données patients'!$A$99,'Traçabilité et info patient'!$C$20:$AF$20,'Données patients'!$B101,'Traçabilité et info patient'!$C$46:$AF$46,'Menus déroulants'!$K$4)</f>
        <v>0</v>
      </c>
      <c r="H101" s="140">
        <f>COUNTIFS('Traçabilité et info patient'!$C$21:$AF$21,'Menus déroulants'!$J$3,'Traçabilité et info patient'!$C$7:$AF$7,'Données patients'!$A$99,'Traçabilité et info patient'!$C$20:$AF$20,'Données patients'!$B101,'Traçabilité et info patient'!$C$45:$AF$45,'Menus déroulants'!$H$2)</f>
        <v>0</v>
      </c>
    </row>
    <row r="102" spans="1:8" ht="15.75" thickBot="1" x14ac:dyDescent="0.3">
      <c r="A102" s="293"/>
      <c r="B102" s="182" t="s">
        <v>160</v>
      </c>
      <c r="C102" s="139">
        <f>COUNTIFS('Traçabilité et info patient'!$C$21:$AF$21,'Menus déroulants'!$J$3,'Traçabilité et info patient'!$C$7:$AF$7,'Données patients'!$A$99,'Traçabilité et info patient'!$C$20:$AF$20,'Données patients'!$B102,'Traçabilité et info patient'!$C$22:$AF$22,'Menus déroulants'!$K$4)</f>
        <v>1</v>
      </c>
      <c r="D102" s="139">
        <f>COUNTIFS('Traçabilité et info patient'!$C$21:$AF$21,'Menus déroulants'!$J$3,'Traçabilité et info patient'!$C$7:$AF$7,'Données patients'!$A$99,'Traçabilité et info patient'!$C$20:$AF$20,'Données patients'!$B102,'Traçabilité et info patient'!$C$55:$AF$55,'Menus déroulants'!$H$2)</f>
        <v>1</v>
      </c>
      <c r="E102" s="132">
        <f>COUNTIFS('Traçabilité et info patient'!$C$21:$AF$21,'Menus déroulants'!$J$3,'Traçabilité et info patient'!$C$7:$AF$7,'Données patients'!$A$99,'Traçabilité et info patient'!$C$20:$AF$20,'Données patients'!$B102,'Traçabilité et info patient'!$C$63:$AF$63,'Menus déroulants'!$H$2)</f>
        <v>1</v>
      </c>
      <c r="F102" s="139">
        <f>COUNTIFS('Traçabilité et info patient'!$C$21:$AF$21,'Menus déroulants'!$J$3,'Traçabilité et info patient'!$C$7:$AF$7,'Données patients'!$A$99,'Traçabilité et info patient'!$C$20:$AF$20,'Données patients'!$B102,'Traçabilité et info patient'!$C$47:$AF$47,'Menus déroulants'!$K$4)</f>
        <v>1</v>
      </c>
      <c r="G102" s="139">
        <f>COUNTIFS('Traçabilité et info patient'!$C$21:$AF$21,'Menus déroulants'!$J$3,'Traçabilité et info patient'!$C$7:$AF$7,'Données patients'!$A$99,'Traçabilité et info patient'!$C$20:$AF$20,'Données patients'!$B102,'Traçabilité et info patient'!$C$46:$AF$46,'Menus déroulants'!$K$4)</f>
        <v>1</v>
      </c>
      <c r="H102" s="139">
        <f>COUNTIFS('Traçabilité et info patient'!$C$21:$AF$21,'Menus déroulants'!$J$3,'Traçabilité et info patient'!$C$7:$AF$7,'Données patients'!$A$99,'Traçabilité et info patient'!$C$20:$AF$20,'Données patients'!$B102,'Traçabilité et info patient'!$C$45:$AF$45,'Menus déroulants'!$H$2)</f>
        <v>1</v>
      </c>
    </row>
    <row r="103" spans="1:8" ht="15.75" thickBot="1" x14ac:dyDescent="0.3">
      <c r="A103" s="293"/>
      <c r="B103" s="184" t="s">
        <v>161</v>
      </c>
      <c r="C103" s="141">
        <f>COUNTIFS('Traçabilité et info patient'!$C$21:$AF$21,'Menus déroulants'!$J$3,'Traçabilité et info patient'!$C$7:$AF$7,'Données patients'!$A$99,'Traçabilité et info patient'!$C$20:$AF$20,'Données patients'!$B103,'Traçabilité et info patient'!$C$22:$AF$22,'Menus déroulants'!$K$4)</f>
        <v>0</v>
      </c>
      <c r="D103" s="141">
        <f>COUNTIFS('Traçabilité et info patient'!$C$21:$AF$21,'Menus déroulants'!$J$3,'Traçabilité et info patient'!$C$7:$AF$7,'Données patients'!$A$99,'Traçabilité et info patient'!$C$20:$AF$20,'Données patients'!$B103,'Traçabilité et info patient'!$C$55:$AF$55,'Menus déroulants'!$H$2)</f>
        <v>0</v>
      </c>
      <c r="E103" s="134">
        <f>COUNTIFS('Traçabilité et info patient'!$C$21:$AF$21,'Menus déroulants'!$J$3,'Traçabilité et info patient'!$C$7:$AF$7,'Données patients'!$A$99,'Traçabilité et info patient'!$C$20:$AF$20,'Données patients'!$B103,'Traçabilité et info patient'!$C$63:$AF$63,'Menus déroulants'!$H$2)</f>
        <v>0</v>
      </c>
      <c r="F103" s="141">
        <f>COUNTIFS('Traçabilité et info patient'!$C$21:$AF$21,'Menus déroulants'!$J$3,'Traçabilité et info patient'!$C$7:$AF$7,'Données patients'!$A$99,'Traçabilité et info patient'!$C$20:$AF$20,'Données patients'!$B103,'Traçabilité et info patient'!$C$47:$AF$47,'Menus déroulants'!$K$4)</f>
        <v>0</v>
      </c>
      <c r="G103" s="141">
        <f>COUNTIFS('Traçabilité et info patient'!$C$21:$AF$21,'Menus déroulants'!$J$3,'Traçabilité et info patient'!$C$7:$AF$7,'Données patients'!$A$99,'Traçabilité et info patient'!$C$20:$AF$20,'Données patients'!$B103,'Traçabilité et info patient'!$C$46:$AF$46,'Menus déroulants'!$K$4)</f>
        <v>0</v>
      </c>
      <c r="H103" s="141">
        <f>COUNTIFS('Traçabilité et info patient'!$C$21:$AF$21,'Menus déroulants'!$J$3,'Traçabilité et info patient'!$C$7:$AF$7,'Données patients'!$A$99,'Traçabilité et info patient'!$C$20:$AF$20,'Données patients'!$B103,'Traçabilité et info patient'!$C$45:$AF$45,'Menus déroulants'!$H$2)</f>
        <v>0</v>
      </c>
    </row>
    <row r="104" spans="1:8" ht="15.75" thickBot="1" x14ac:dyDescent="0.3">
      <c r="A104" s="294" t="s">
        <v>190</v>
      </c>
      <c r="B104" s="181" t="s">
        <v>157</v>
      </c>
      <c r="C104" s="138">
        <f>COUNTIFS('Traçabilité et info patient'!$C$21:$AF$21,'Menus déroulants'!$J$3,'Traçabilité et info patient'!$C$7:$AF$7,'Données patients'!$A$104,'Traçabilité et info patient'!$C$20:$AF$20,'Données patients'!$B104,'Traçabilité et info patient'!$C$22:$AF$22,'Menus déroulants'!$K$4)</f>
        <v>4</v>
      </c>
      <c r="D104" s="138">
        <f>COUNTIFS('Traçabilité et info patient'!$C$21:$AF$21,'Menus déroulants'!$J$3,'Traçabilité et info patient'!$C$7:$AF$7,'Données patients'!$A$104,'Traçabilité et info patient'!$C$20:$AF$20,'Données patients'!$B104,'Traçabilité et info patient'!$C$55:$AF$55,'Menus déroulants'!$H$2)</f>
        <v>4</v>
      </c>
      <c r="E104" s="131">
        <f>COUNTIFS('Traçabilité et info patient'!$C$21:$AF$21,'Menus déroulants'!$J$3,'Traçabilité et info patient'!$C$7:$AF$7,'Données patients'!$A$104,'Traçabilité et info patient'!$C$20:$AF$20,'Données patients'!$B104,'Traçabilité et info patient'!$C$63:$AF$63,'Menus déroulants'!$H$2)</f>
        <v>4</v>
      </c>
      <c r="F104" s="138">
        <f>COUNTIFS('Traçabilité et info patient'!$C$21:$AF$21,'Menus déroulants'!$J$3,'Traçabilité et info patient'!$C$7:$AF$7,'Données patients'!$A$104,'Traçabilité et info patient'!$C$20:$AF$20,'Données patients'!$B104,'Traçabilité et info patient'!$C$47:$AF$47,'Menus déroulants'!$K$4)</f>
        <v>4</v>
      </c>
      <c r="G104" s="138">
        <f>COUNTIFS('Traçabilité et info patient'!$C$21:$AF$21,'Menus déroulants'!$J$3,'Traçabilité et info patient'!$C$7:$AF$7,'Données patients'!$A$104,'Traçabilité et info patient'!$C$20:$AF$20,'Données patients'!$B104,'Traçabilité et info patient'!$C$46:$AF$46,'Menus déroulants'!$K$4)</f>
        <v>3</v>
      </c>
      <c r="H104" s="138">
        <f>COUNTIFS('Traçabilité et info patient'!$C$21:$AF$21,'Menus déroulants'!$J$3,'Traçabilité et info patient'!$C$7:$AF$7,'Données patients'!$A$104,'Traçabilité et info patient'!$C$20:$AF$20,'Données patients'!$B104,'Traçabilité et info patient'!$C$45:$AF$45,'Menus déroulants'!$H$2)</f>
        <v>2</v>
      </c>
    </row>
    <row r="105" spans="1:8" ht="15.75" thickBot="1" x14ac:dyDescent="0.3">
      <c r="A105" s="294"/>
      <c r="B105" s="182" t="s">
        <v>158</v>
      </c>
      <c r="C105" s="139">
        <f>COUNTIFS('Traçabilité et info patient'!$C$21:$AF$21,'Menus déroulants'!$J$3,'Traçabilité et info patient'!$C$7:$AF$7,'Données patients'!$A$104,'Traçabilité et info patient'!$C$20:$AF$20,'Données patients'!$B105,'Traçabilité et info patient'!$C$22:$AF$22,'Menus déroulants'!$K$4)</f>
        <v>0</v>
      </c>
      <c r="D105" s="139">
        <f>COUNTIFS('Traçabilité et info patient'!$C$21:$AF$21,'Menus déroulants'!$J$3,'Traçabilité et info patient'!$C$7:$AF$7,'Données patients'!$A$104,'Traçabilité et info patient'!$C$20:$AF$20,'Données patients'!$B105,'Traçabilité et info patient'!$C$55:$AF$55,'Menus déroulants'!$H$2)</f>
        <v>0</v>
      </c>
      <c r="E105" s="132">
        <f>COUNTIFS('Traçabilité et info patient'!$C$21:$AF$21,'Menus déroulants'!$J$3,'Traçabilité et info patient'!$C$7:$AF$7,'Données patients'!$A$104,'Traçabilité et info patient'!$C$20:$AF$20,'Données patients'!$B105,'Traçabilité et info patient'!$C$63:$AF$63,'Menus déroulants'!$H$2)</f>
        <v>0</v>
      </c>
      <c r="F105" s="139">
        <f>COUNTIFS('Traçabilité et info patient'!$C$21:$AF$21,'Menus déroulants'!$J$3,'Traçabilité et info patient'!$C$7:$AF$7,'Données patients'!$A$104,'Traçabilité et info patient'!$C$20:$AF$20,'Données patients'!$B105,'Traçabilité et info patient'!$C$47:$AF$47,'Menus déroulants'!$K$4)</f>
        <v>0</v>
      </c>
      <c r="G105" s="139">
        <f>COUNTIFS('Traçabilité et info patient'!$C$21:$AF$21,'Menus déroulants'!$J$3,'Traçabilité et info patient'!$C$7:$AF$7,'Données patients'!$A$104,'Traçabilité et info patient'!$C$20:$AF$20,'Données patients'!$B105,'Traçabilité et info patient'!$C$46:$AF$46,'Menus déroulants'!$K$4)</f>
        <v>0</v>
      </c>
      <c r="H105" s="139">
        <f>COUNTIFS('Traçabilité et info patient'!$C$21:$AF$21,'Menus déroulants'!$J$3,'Traçabilité et info patient'!$C$7:$AF$7,'Données patients'!$A$104,'Traçabilité et info patient'!$C$20:$AF$20,'Données patients'!$B105,'Traçabilité et info patient'!$C$45:$AF$45,'Menus déroulants'!$H$2)</f>
        <v>0</v>
      </c>
    </row>
    <row r="106" spans="1:8" ht="15.75" thickBot="1" x14ac:dyDescent="0.3">
      <c r="A106" s="294"/>
      <c r="B106" s="183" t="s">
        <v>159</v>
      </c>
      <c r="C106" s="140">
        <f>COUNTIFS('Traçabilité et info patient'!$C$21:$AF$21,'Menus déroulants'!$J$3,'Traçabilité et info patient'!$C$7:$AF$7,'Données patients'!$A$104,'Traçabilité et info patient'!$C$20:$AF$20,'Données patients'!$B106,'Traçabilité et info patient'!$C$22:$AF$22,'Menus déroulants'!$K$4)</f>
        <v>0</v>
      </c>
      <c r="D106" s="140">
        <f>COUNTIFS('Traçabilité et info patient'!$C$21:$AF$21,'Menus déroulants'!$J$3,'Traçabilité et info patient'!$C$7:$AF$7,'Données patients'!$A$104,'Traçabilité et info patient'!$C$20:$AF$20,'Données patients'!$B106,'Traçabilité et info patient'!$C$55:$AF$55,'Menus déroulants'!$H$2)</f>
        <v>0</v>
      </c>
      <c r="E106" s="136">
        <f>COUNTIFS('Traçabilité et info patient'!$C$21:$AF$21,'Menus déroulants'!$J$3,'Traçabilité et info patient'!$C$7:$AF$7,'Données patients'!$A$104,'Traçabilité et info patient'!$C$20:$AF$20,'Données patients'!$B106,'Traçabilité et info patient'!$C$63:$AF$63,'Menus déroulants'!$H$2)</f>
        <v>0</v>
      </c>
      <c r="F106" s="140">
        <f>COUNTIFS('Traçabilité et info patient'!$C$21:$AF$21,'Menus déroulants'!$J$3,'Traçabilité et info patient'!$C$7:$AF$7,'Données patients'!$A$104,'Traçabilité et info patient'!$C$20:$AF$20,'Données patients'!$B106,'Traçabilité et info patient'!$C$47:$AF$47,'Menus déroulants'!$K$4)</f>
        <v>0</v>
      </c>
      <c r="G106" s="140">
        <f>COUNTIFS('Traçabilité et info patient'!$C$21:$AF$21,'Menus déroulants'!$J$3,'Traçabilité et info patient'!$C$7:$AF$7,'Données patients'!$A$104,'Traçabilité et info patient'!$C$20:$AF$20,'Données patients'!$B106,'Traçabilité et info patient'!$C$46:$AF$46,'Menus déroulants'!$K$4)</f>
        <v>0</v>
      </c>
      <c r="H106" s="140">
        <f>COUNTIFS('Traçabilité et info patient'!$C$21:$AF$21,'Menus déroulants'!$J$3,'Traçabilité et info patient'!$C$7:$AF$7,'Données patients'!$A$104,'Traçabilité et info patient'!$C$20:$AF$20,'Données patients'!$B106,'Traçabilité et info patient'!$C$45:$AF$45,'Menus déroulants'!$H$2)</f>
        <v>0</v>
      </c>
    </row>
    <row r="107" spans="1:8" ht="15.75" thickBot="1" x14ac:dyDescent="0.3">
      <c r="A107" s="294"/>
      <c r="B107" s="182" t="s">
        <v>160</v>
      </c>
      <c r="C107" s="139">
        <f>COUNTIFS('Traçabilité et info patient'!$C$21:$AF$21,'Menus déroulants'!$J$3,'Traçabilité et info patient'!$C$7:$AF$7,'Données patients'!$A$104,'Traçabilité et info patient'!$C$20:$AF$20,'Données patients'!$B107,'Traçabilité et info patient'!$C$22:$AF$22,'Menus déroulants'!$K$4)</f>
        <v>0</v>
      </c>
      <c r="D107" s="139">
        <f>COUNTIFS('Traçabilité et info patient'!$C$21:$AF$21,'Menus déroulants'!$J$3,'Traçabilité et info patient'!$C$7:$AF$7,'Données patients'!$A$104,'Traçabilité et info patient'!$C$20:$AF$20,'Données patients'!$B107,'Traçabilité et info patient'!$C$55:$AF$55,'Menus déroulants'!$H$2)</f>
        <v>0</v>
      </c>
      <c r="E107" s="132">
        <f>COUNTIFS('Traçabilité et info patient'!$C$21:$AF$21,'Menus déroulants'!$J$3,'Traçabilité et info patient'!$C$7:$AF$7,'Données patients'!$A$104,'Traçabilité et info patient'!$C$20:$AF$20,'Données patients'!$B107,'Traçabilité et info patient'!$C$63:$AF$63,'Menus déroulants'!$H$2)</f>
        <v>0</v>
      </c>
      <c r="F107" s="139">
        <f>COUNTIFS('Traçabilité et info patient'!$C$21:$AF$21,'Menus déroulants'!$J$3,'Traçabilité et info patient'!$C$7:$AF$7,'Données patients'!$A$104,'Traçabilité et info patient'!$C$20:$AF$20,'Données patients'!$B107,'Traçabilité et info patient'!$C$47:$AF$47,'Menus déroulants'!$K$4)</f>
        <v>0</v>
      </c>
      <c r="G107" s="139">
        <f>COUNTIFS('Traçabilité et info patient'!$C$21:$AF$21,'Menus déroulants'!$J$3,'Traçabilité et info patient'!$C$7:$AF$7,'Données patients'!$A$104,'Traçabilité et info patient'!$C$20:$AF$20,'Données patients'!$B107,'Traçabilité et info patient'!$C$46:$AF$46,'Menus déroulants'!$K$4)</f>
        <v>0</v>
      </c>
      <c r="H107" s="139">
        <f>COUNTIFS('Traçabilité et info patient'!$C$21:$AF$21,'Menus déroulants'!$J$3,'Traçabilité et info patient'!$C$7:$AF$7,'Données patients'!$A$104,'Traçabilité et info patient'!$C$20:$AF$20,'Données patients'!$B107,'Traçabilité et info patient'!$C$45:$AF$45,'Menus déroulants'!$H$2)</f>
        <v>0</v>
      </c>
    </row>
    <row r="108" spans="1:8" ht="15.75" thickBot="1" x14ac:dyDescent="0.3">
      <c r="A108" s="294"/>
      <c r="B108" s="184" t="s">
        <v>161</v>
      </c>
      <c r="C108" s="141">
        <f>COUNTIFS('Traçabilité et info patient'!$C$21:$AF$21,'Menus déroulants'!$J$3,'Traçabilité et info patient'!$C$7:$AF$7,'Données patients'!$A$104,'Traçabilité et info patient'!$C$20:$AF$20,'Données patients'!$B108,'Traçabilité et info patient'!$C$22:$AF$22,'Menus déroulants'!$K$4)</f>
        <v>0</v>
      </c>
      <c r="D108" s="141">
        <f>COUNTIFS('Traçabilité et info patient'!$C$21:$AF$21,'Menus déroulants'!$J$3,'Traçabilité et info patient'!$C$7:$AF$7,'Données patients'!$A$104,'Traçabilité et info patient'!$C$20:$AF$20,'Données patients'!$B108,'Traçabilité et info patient'!$C$55:$AF$55,'Menus déroulants'!$H$2)</f>
        <v>0</v>
      </c>
      <c r="E108" s="134">
        <f>COUNTIFS('Traçabilité et info patient'!$C$21:$AF$21,'Menus déroulants'!$J$3,'Traçabilité et info patient'!$C$7:$AF$7,'Données patients'!$A$104,'Traçabilité et info patient'!$C$20:$AF$20,'Données patients'!$B108,'Traçabilité et info patient'!$C$63:$AF$63,'Menus déroulants'!$H$2)</f>
        <v>0</v>
      </c>
      <c r="F108" s="141">
        <f>COUNTIFS('Traçabilité et info patient'!$C$21:$AF$21,'Menus déroulants'!$J$3,'Traçabilité et info patient'!$C$7:$AF$7,'Données patients'!$A$99,'Traçabilité et info patient'!$C$20:$AF$20,'Données patients'!$B108,'Traçabilité et info patient'!$C$47:$AF$47,'Menus déroulants'!$K$4)</f>
        <v>0</v>
      </c>
      <c r="G108" s="141">
        <f>COUNTIFS('Traçabilité et info patient'!$C$21:$AF$21,'Menus déroulants'!$J$3,'Traçabilité et info patient'!$C$7:$AF$7,'Données patients'!$A$99,'Traçabilité et info patient'!$C$20:$AF$20,'Données patients'!$B108,'Traçabilité et info patient'!$C$46:$AF$46,'Menus déroulants'!$K$4)</f>
        <v>0</v>
      </c>
      <c r="H108" s="141">
        <f>COUNTIFS('Traçabilité et info patient'!$C$21:$AF$21,'Menus déroulants'!$J$3,'Traçabilité et info patient'!$C$7:$AF$7,'Données patients'!$A$99,'Traçabilité et info patient'!$C$20:$AF$20,'Données patients'!$B108,'Traçabilité et info patient'!$C$45:$AF$45,'Menus déroulants'!$H$2)</f>
        <v>0</v>
      </c>
    </row>
    <row r="109" spans="1:8" ht="15.75" thickBot="1" x14ac:dyDescent="0.3">
      <c r="B109" s="160" t="s">
        <v>61</v>
      </c>
      <c r="C109" s="142">
        <f t="shared" ref="C109:H109" si="16">SUM(C74:C108)</f>
        <v>29</v>
      </c>
      <c r="D109" s="142">
        <f t="shared" si="16"/>
        <v>29</v>
      </c>
      <c r="E109" s="142">
        <f t="shared" si="16"/>
        <v>29</v>
      </c>
      <c r="F109" s="142">
        <f t="shared" si="16"/>
        <v>29</v>
      </c>
      <c r="G109" s="142">
        <f t="shared" si="16"/>
        <v>18</v>
      </c>
      <c r="H109" s="142">
        <f t="shared" si="16"/>
        <v>14</v>
      </c>
    </row>
    <row r="110" spans="1:8" ht="15.75" customHeight="1" thickBot="1" x14ac:dyDescent="0.3">
      <c r="A110" s="266" t="s">
        <v>115</v>
      </c>
      <c r="B110" s="287"/>
      <c r="C110" s="289" t="s">
        <v>295</v>
      </c>
      <c r="D110" s="290"/>
      <c r="E110" s="290"/>
      <c r="F110" s="290"/>
      <c r="G110" s="290"/>
      <c r="H110" s="291"/>
    </row>
    <row r="111" spans="1:8" ht="34.5" thickBot="1" x14ac:dyDescent="0.3">
      <c r="A111" s="112" t="s">
        <v>187</v>
      </c>
      <c r="B111" s="180" t="s">
        <v>242</v>
      </c>
      <c r="C111" s="129" t="s">
        <v>291</v>
      </c>
      <c r="D111" s="106" t="s">
        <v>297</v>
      </c>
      <c r="E111" s="191" t="s">
        <v>298</v>
      </c>
      <c r="F111" s="191" t="s">
        <v>299</v>
      </c>
      <c r="G111" s="106" t="s">
        <v>296</v>
      </c>
      <c r="H111" s="192" t="s">
        <v>262</v>
      </c>
    </row>
    <row r="112" spans="1:8" x14ac:dyDescent="0.25">
      <c r="A112" s="312" t="s">
        <v>191</v>
      </c>
      <c r="B112" s="181" t="s">
        <v>157</v>
      </c>
      <c r="C112" s="138">
        <f>COUNTIFS('Traçabilité et info patient'!$C$21:$AF$21,'Menus déroulants'!$J$2,'Traçabilité et info patient'!$C$7:$AF$7,'Données patients'!$A$74,'Traçabilité et info patient'!$C$20:$AF$20,'Données patients'!$B112,'Traçabilité et info patient'!$C$22:$AF$22,'Menus déroulants'!$K$4)</f>
        <v>1</v>
      </c>
      <c r="D112" s="138">
        <f>COUNTIFS('Traçabilité et info patient'!$C$21:$AF$21,'Menus déroulants'!$J$2,'Traçabilité et info patient'!$C$7:$AF$7,'Données patients'!$A$74,'Traçabilité et info patient'!$C$20:$AF$20,'Données patients'!$B112,'Traçabilité et info patient'!$C$55:$AF$55,'Menus déroulants'!$H$2)</f>
        <v>1</v>
      </c>
      <c r="E112" s="131">
        <f>COUNTIFS('Traçabilité et info patient'!$C$21:$AF$21,'Menus déroulants'!$J$2,'Traçabilité et info patient'!$C$7:$AF$7,'Données patients'!$A$74,'Traçabilité et info patient'!$C$20:$AF$20,'Données patients'!$B112,'Traçabilité et info patient'!$C$63:$AF$63,'Menus déroulants'!$H$2)</f>
        <v>1</v>
      </c>
      <c r="F112" s="138">
        <f>COUNTIFS('Traçabilité et info patient'!$C$21:$AF$21,'Menus déroulants'!$J$2,'Traçabilité et info patient'!$C$7:$AF$7,'Données patients'!$A$74,'Traçabilité et info patient'!$C$20:$AF$20,'Données patients'!$B112,'Traçabilité et info patient'!$C$47:$AF$47,'Menus déroulants'!$K$4)</f>
        <v>1</v>
      </c>
      <c r="G112" s="138">
        <f>COUNTIFS('Traçabilité et info patient'!$C$21:$AF$21,'Menus déroulants'!$J$2,'Traçabilité et info patient'!$C$7:$AF$7,'Données patients'!$A$74,'Traçabilité et info patient'!$C$20:$AF$20,'Données patients'!$B112,'Traçabilité et info patient'!$C$46:$AF$46,'Menus déroulants'!$K$4)</f>
        <v>0</v>
      </c>
      <c r="H112" s="138">
        <f>COUNTIFS('Traçabilité et info patient'!$C$21:$AF$21,'Menus déroulants'!$J$2,'Traçabilité et info patient'!$C$7:$AF$7,'Données patients'!$A$74,'Traçabilité et info patient'!$C$20:$AF$20,'Données patients'!$B112,'Traçabilité et info patient'!$C$45:$AF$45,'Menus déroulants'!$K$2)</f>
        <v>1</v>
      </c>
    </row>
    <row r="113" spans="1:8" x14ac:dyDescent="0.25">
      <c r="A113" s="313"/>
      <c r="B113" s="182" t="s">
        <v>158</v>
      </c>
      <c r="C113" s="139">
        <f>COUNTIFS('Traçabilité et info patient'!$C$21:$AF$21,'Menus déroulants'!$J$2,'Traçabilité et info patient'!$C$7:$AF$7,'Données patients'!$A$74,'Traçabilité et info patient'!$C$20:$AF$20,'Données patients'!$B113,'Traçabilité et info patient'!$C$22:$AF$22,'Menus déroulants'!$K$4)</f>
        <v>0</v>
      </c>
      <c r="D113" s="139">
        <f>COUNTIFS('Traçabilité et info patient'!$C$21:$AF$21,'Menus déroulants'!$J$2,'Traçabilité et info patient'!$C$7:$AF$7,'Données patients'!$A$74,'Traçabilité et info patient'!$C$20:$AF$20,'Données patients'!$B113,'Traçabilité et info patient'!$C$55:$AF$55,'Menus déroulants'!$H$2)</f>
        <v>0</v>
      </c>
      <c r="E113" s="132">
        <f>COUNTIFS('Traçabilité et info patient'!$C$21:$AF$21,'Menus déroulants'!$J$2,'Traçabilité et info patient'!$C$7:$AF$7,'Données patients'!$A$74,'Traçabilité et info patient'!$C$20:$AF$20,'Données patients'!$B113,'Traçabilité et info patient'!$C$63:$AF$63,'Menus déroulants'!$H$2)</f>
        <v>0</v>
      </c>
      <c r="F113" s="139">
        <f>COUNTIFS('Traçabilité et info patient'!$C$21:$AF$21,'Menus déroulants'!$J$2,'Traçabilité et info patient'!$C$7:$AF$7,'Données patients'!$A$74,'Traçabilité et info patient'!$C$20:$AF$20,'Données patients'!$B113,'Traçabilité et info patient'!$C$47:$AF$47,'Menus déroulants'!$K$4)</f>
        <v>0</v>
      </c>
      <c r="G113" s="139">
        <f>COUNTIFS('Traçabilité et info patient'!$C$21:$AF$21,'Menus déroulants'!$J$2,'Traçabilité et info patient'!$C$7:$AF$7,'Données patients'!$A$74,'Traçabilité et info patient'!$C$20:$AF$20,'Données patients'!$B113,'Traçabilité et info patient'!$C$46:$AF$46,'Menus déroulants'!$K$4)</f>
        <v>0</v>
      </c>
      <c r="H113" s="139">
        <f>COUNTIFS('Traçabilité et info patient'!$C$21:$AF$21,'Menus déroulants'!$J$2,'Traçabilité et info patient'!$C$7:$AF$7,'Données patients'!$A$74,'Traçabilité et info patient'!$C$20:$AF$20,'Données patients'!$B113,'Traçabilité et info patient'!$C$45:$AF$45,'Menus déroulants'!$K$2)</f>
        <v>0</v>
      </c>
    </row>
    <row r="114" spans="1:8" x14ac:dyDescent="0.25">
      <c r="A114" s="313"/>
      <c r="B114" s="183" t="s">
        <v>159</v>
      </c>
      <c r="C114" s="140">
        <f>COUNTIFS('Traçabilité et info patient'!$C$21:$AF$21,'Menus déroulants'!$J$2,'Traçabilité et info patient'!$C$7:$AF$7,'Données patients'!$A$74,'Traçabilité et info patient'!$C$20:$AF$20,'Données patients'!$B114,'Traçabilité et info patient'!$C$22:$AF$22,'Menus déroulants'!$K$4)</f>
        <v>0</v>
      </c>
      <c r="D114" s="140">
        <f>COUNTIFS('Traçabilité et info patient'!$C$21:$AF$21,'Menus déroulants'!$J$2,'Traçabilité et info patient'!$C$7:$AF$7,'Données patients'!$A$74,'Traçabilité et info patient'!$C$20:$AF$20,'Données patients'!$B114,'Traçabilité et info patient'!$C$55:$AF$55,'Menus déroulants'!$H$2)</f>
        <v>0</v>
      </c>
      <c r="E114" s="136">
        <f>COUNTIFS('Traçabilité et info patient'!$C$21:$AF$21,'Menus déroulants'!$J$2,'Traçabilité et info patient'!$C$7:$AF$7,'Données patients'!$A$74,'Traçabilité et info patient'!$C$20:$AF$20,'Données patients'!$B114,'Traçabilité et info patient'!$C$63:$AF$63,'Menus déroulants'!$H$2)</f>
        <v>0</v>
      </c>
      <c r="F114" s="140">
        <f>COUNTIFS('Traçabilité et info patient'!$C$21:$AF$21,'Menus déroulants'!$J$2,'Traçabilité et info patient'!$C$7:$AF$7,'Données patients'!$A$74,'Traçabilité et info patient'!$C$20:$AF$20,'Données patients'!$B114,'Traçabilité et info patient'!$C$47:$AF$47,'Menus déroulants'!$K$4)</f>
        <v>0</v>
      </c>
      <c r="G114" s="140">
        <f>COUNTIFS('Traçabilité et info patient'!$C$21:$AF$21,'Menus déroulants'!$J$2,'Traçabilité et info patient'!$C$7:$AF$7,'Données patients'!$A$74,'Traçabilité et info patient'!$C$20:$AF$20,'Données patients'!$B114,'Traçabilité et info patient'!$C$46:$AF$46,'Menus déroulants'!$K$4)</f>
        <v>0</v>
      </c>
      <c r="H114" s="140">
        <f>COUNTIFS('Traçabilité et info patient'!$C$21:$AF$21,'Menus déroulants'!$J$2,'Traçabilité et info patient'!$C$7:$AF$7,'Données patients'!$A$74,'Traçabilité et info patient'!$C$20:$AF$20,'Données patients'!$B114,'Traçabilité et info patient'!$C$45:$AF$45,'Menus déroulants'!$K$2)</f>
        <v>0</v>
      </c>
    </row>
    <row r="115" spans="1:8" x14ac:dyDescent="0.25">
      <c r="A115" s="313"/>
      <c r="B115" s="182" t="s">
        <v>160</v>
      </c>
      <c r="C115" s="139">
        <f>COUNTIFS('Traçabilité et info patient'!$C$21:$AF$21,'Menus déroulants'!$J$2,'Traçabilité et info patient'!$C$7:$AF$7,'Données patients'!$A$74,'Traçabilité et info patient'!$C$20:$AF$20,'Données patients'!$B115,'Traçabilité et info patient'!$C$22:$AF$22,'Menus déroulants'!$K$4)</f>
        <v>0</v>
      </c>
      <c r="D115" s="139">
        <f>COUNTIFS('Traçabilité et info patient'!$C$21:$AF$21,'Menus déroulants'!$J$2,'Traçabilité et info patient'!$C$7:$AF$7,'Données patients'!$A$74,'Traçabilité et info patient'!$C$20:$AF$20,'Données patients'!$B115,'Traçabilité et info patient'!$C$55:$AF$55,'Menus déroulants'!$H$2)</f>
        <v>0</v>
      </c>
      <c r="E115" s="132">
        <f>COUNTIFS('Traçabilité et info patient'!$C$21:$AF$21,'Menus déroulants'!$J$2,'Traçabilité et info patient'!$C$7:$AF$7,'Données patients'!$A$74,'Traçabilité et info patient'!$C$20:$AF$20,'Données patients'!$B115,'Traçabilité et info patient'!$C$63:$AF$63,'Menus déroulants'!$H$2)</f>
        <v>0</v>
      </c>
      <c r="F115" s="139">
        <f>COUNTIFS('Traçabilité et info patient'!$C$21:$AF$21,'Menus déroulants'!$J$2,'Traçabilité et info patient'!$C$7:$AF$7,'Données patients'!$A$74,'Traçabilité et info patient'!$C$20:$AF$20,'Données patients'!$B115,'Traçabilité et info patient'!$C$47:$AF$47,'Menus déroulants'!$K$4)</f>
        <v>0</v>
      </c>
      <c r="G115" s="139">
        <f>COUNTIFS('Traçabilité et info patient'!$C$21:$AF$21,'Menus déroulants'!$J$2,'Traçabilité et info patient'!$C$7:$AF$7,'Données patients'!$A$74,'Traçabilité et info patient'!$C$20:$AF$20,'Données patients'!$B115,'Traçabilité et info patient'!$C$46:$AF$46,'Menus déroulants'!$K$4)</f>
        <v>0</v>
      </c>
      <c r="H115" s="139">
        <f>COUNTIFS('Traçabilité et info patient'!$C$21:$AF$21,'Menus déroulants'!$J$2,'Traçabilité et info patient'!$C$7:$AF$7,'Données patients'!$A$74,'Traçabilité et info patient'!$C$20:$AF$20,'Données patients'!$B115,'Traçabilité et info patient'!$C$45:$AF$45,'Menus déroulants'!$K$2)</f>
        <v>0</v>
      </c>
    </row>
    <row r="116" spans="1:8" ht="15.75" thickBot="1" x14ac:dyDescent="0.3">
      <c r="A116" s="314"/>
      <c r="B116" s="184" t="s">
        <v>161</v>
      </c>
      <c r="C116" s="141">
        <f>COUNTIFS('Traçabilité et info patient'!$C$21:$AF$21,'Menus déroulants'!$J$2,'Traçabilité et info patient'!$C$7:$AF$7,'Données patients'!$A$74,'Traçabilité et info patient'!$C$20:$AF$20,'Données patients'!$B116,'Traçabilité et info patient'!$C$22:$AF$22,'Menus déroulants'!$K$4)</f>
        <v>0</v>
      </c>
      <c r="D116" s="141">
        <f>COUNTIFS('Traçabilité et info patient'!$C$21:$AF$21,'Menus déroulants'!$J$2,'Traçabilité et info patient'!$C$7:$AF$7,'Données patients'!$A$74,'Traçabilité et info patient'!$C$20:$AF$20,'Données patients'!$B116,'Traçabilité et info patient'!$C$55:$AF$55,'Menus déroulants'!$H$2)</f>
        <v>0</v>
      </c>
      <c r="E116" s="134">
        <f>COUNTIFS('Traçabilité et info patient'!$C$21:$AF$21,'Menus déroulants'!$J$2,'Traçabilité et info patient'!$C$7:$AF$7,'Données patients'!$A$74,'Traçabilité et info patient'!$C$20:$AF$20,'Données patients'!$B116,'Traçabilité et info patient'!$C$63:$AF$63,'Menus déroulants'!$H$2)</f>
        <v>0</v>
      </c>
      <c r="F116" s="141">
        <f>COUNTIFS('Traçabilité et info patient'!$C$21:$AF$21,'Menus déroulants'!$J$2,'Traçabilité et info patient'!$C$7:$AF$7,'Données patients'!$A$74,'Traçabilité et info patient'!$C$20:$AF$20,'Données patients'!$B116,'Traçabilité et info patient'!$C$47:$AF$47,'Menus déroulants'!$K$4)</f>
        <v>0</v>
      </c>
      <c r="G116" s="141">
        <f>COUNTIFS('Traçabilité et info patient'!$C$21:$AF$21,'Menus déroulants'!$J$2,'Traçabilité et info patient'!$C$7:$AF$7,'Données patients'!$A$74,'Traçabilité et info patient'!$C$20:$AF$20,'Données patients'!$B116,'Traçabilité et info patient'!$C$46:$AF$46,'Menus déroulants'!$K$4)</f>
        <v>0</v>
      </c>
      <c r="H116" s="141">
        <f>COUNTIFS('Traçabilité et info patient'!$C$21:$AF$21,'Menus déroulants'!$J$2,'Traçabilité et info patient'!$C$7:$AF$7,'Données patients'!$A$74,'Traçabilité et info patient'!$C$20:$AF$20,'Données patients'!$B116,'Traçabilité et info patient'!$C$45:$AF$45,'Menus déroulants'!$K$2)</f>
        <v>0</v>
      </c>
    </row>
    <row r="117" spans="1:8" x14ac:dyDescent="0.25">
      <c r="A117" s="315" t="s">
        <v>192</v>
      </c>
      <c r="B117" s="181" t="s">
        <v>157</v>
      </c>
      <c r="C117" s="138">
        <f>COUNTIFS('Traçabilité et info patient'!$C$21:$AF$21,'Menus déroulants'!$J$2,'Traçabilité et info patient'!$C$7:$AF$7,'Données patients'!$A$79,'Traçabilité et info patient'!$C$20:$AF$20,'Données patients'!$B117,'Traçabilité et info patient'!$C$22:$AF$22,'Menus déroulants'!$K$4)</f>
        <v>0</v>
      </c>
      <c r="D117" s="138">
        <f>COUNTIFS('Traçabilité et info patient'!$C$21:$AF$21,'Menus déroulants'!$J$2,'Traçabilité et info patient'!$C$7:$AF$7,'Données patients'!$A$79,'Traçabilité et info patient'!$C$20:$AF$20,'Données patients'!$B117,'Traçabilité et info patient'!$C$55:$AF$55,'Menus déroulants'!$H$2)</f>
        <v>0</v>
      </c>
      <c r="E117" s="131">
        <f>COUNTIFS('Traçabilité et info patient'!$C$21:$AF$21,'Menus déroulants'!$J$2,'Traçabilité et info patient'!$C$7:$AF$7,'Données patients'!$A$79,'Traçabilité et info patient'!$C$20:$AF$20,'Données patients'!$B117,'Traçabilité et info patient'!$C$63:$AF$63,'Menus déroulants'!$H$2)</f>
        <v>0</v>
      </c>
      <c r="F117" s="138">
        <f>COUNTIFS('Traçabilité et info patient'!$C$21:$AF$21,'Menus déroulants'!$J$2,'Traçabilité et info patient'!$C$7:$AF$7,'Données patients'!$A$79,'Traçabilité et info patient'!$C$20:$AF$20,'Données patients'!$B117,'Traçabilité et info patient'!$C$47:$AF$47,'Menus déroulants'!$K$4)</f>
        <v>0</v>
      </c>
      <c r="G117" s="138">
        <f>COUNTIFS('Traçabilité et info patient'!$C$21:$AF$21,'Menus déroulants'!$J$2,'Traçabilité et info patient'!$C$7:$AF$7,'Données patients'!$A$79,'Traçabilité et info patient'!$C$20:$AF$20,'Données patients'!$B117,'Traçabilité et info patient'!$C$46:$AF$46,'Menus déroulants'!$K$4)</f>
        <v>0</v>
      </c>
      <c r="H117" s="138">
        <f>COUNTIFS('Traçabilité et info patient'!$C$21:$AF$21,'Menus déroulants'!$J$2,'Traçabilité et info patient'!$C$7:$AF$7,'Données patients'!$A$79,'Traçabilité et info patient'!$C$20:$AF$20,'Données patients'!$B117,'Traçabilité et info patient'!$C$45:$AF$45,'Menus déroulants'!$K$2)</f>
        <v>0</v>
      </c>
    </row>
    <row r="118" spans="1:8" x14ac:dyDescent="0.25">
      <c r="A118" s="316"/>
      <c r="B118" s="182" t="s">
        <v>158</v>
      </c>
      <c r="C118" s="139">
        <f>COUNTIFS('Traçabilité et info patient'!$C$21:$AF$21,'Menus déroulants'!$J$2,'Traçabilité et info patient'!$C$7:$AF$7,'Données patients'!$A$79,'Traçabilité et info patient'!$C$20:$AF$20,'Données patients'!$B118,'Traçabilité et info patient'!$C$22:$AF$22,'Menus déroulants'!$K$4)</f>
        <v>0</v>
      </c>
      <c r="D118" s="139">
        <f>COUNTIFS('Traçabilité et info patient'!$C$21:$AF$21,'Menus déroulants'!$J$2,'Traçabilité et info patient'!$C$7:$AF$7,'Données patients'!$A$79,'Traçabilité et info patient'!$C$20:$AF$20,'Données patients'!$B118,'Traçabilité et info patient'!$C$55:$AF$55,'Menus déroulants'!$H$2)</f>
        <v>0</v>
      </c>
      <c r="E118" s="132">
        <f>COUNTIFS('Traçabilité et info patient'!$C$21:$AF$21,'Menus déroulants'!$J$2,'Traçabilité et info patient'!$C$7:$AF$7,'Données patients'!$A$79,'Traçabilité et info patient'!$C$20:$AF$20,'Données patients'!$B118,'Traçabilité et info patient'!$C$63:$AF$63,'Menus déroulants'!$H$2)</f>
        <v>0</v>
      </c>
      <c r="F118" s="139">
        <f>COUNTIFS('Traçabilité et info patient'!$C$21:$AF$21,'Menus déroulants'!$J$2,'Traçabilité et info patient'!$C$7:$AF$7,'Données patients'!$A$79,'Traçabilité et info patient'!$C$20:$AF$20,'Données patients'!$B118,'Traçabilité et info patient'!$C$47:$AF$47,'Menus déroulants'!$K$4)</f>
        <v>0</v>
      </c>
      <c r="G118" s="139">
        <f>COUNTIFS('Traçabilité et info patient'!$C$21:$AF$21,'Menus déroulants'!$J$2,'Traçabilité et info patient'!$C$7:$AF$7,'Données patients'!$A$79,'Traçabilité et info patient'!$C$20:$AF$20,'Données patients'!$B118,'Traçabilité et info patient'!$C$46:$AF$46,'Menus déroulants'!$K$4)</f>
        <v>0</v>
      </c>
      <c r="H118" s="139">
        <f>COUNTIFS('Traçabilité et info patient'!$C$21:$AF$21,'Menus déroulants'!$J$2,'Traçabilité et info patient'!$C$7:$AF$7,'Données patients'!$A$79,'Traçabilité et info patient'!$C$20:$AF$20,'Données patients'!$B118,'Traçabilité et info patient'!$C$45:$AF$45,'Menus déroulants'!$K$2)</f>
        <v>0</v>
      </c>
    </row>
    <row r="119" spans="1:8" x14ac:dyDescent="0.25">
      <c r="A119" s="316"/>
      <c r="B119" s="183" t="s">
        <v>159</v>
      </c>
      <c r="C119" s="140">
        <f>COUNTIFS('Traçabilité et info patient'!$C$21:$AF$21,'Menus déroulants'!$J$2,'Traçabilité et info patient'!$C$7:$AF$7,'Données patients'!$A$79,'Traçabilité et info patient'!$C$20:$AF$20,'Données patients'!$B119,'Traçabilité et info patient'!$C$22:$AF$22,'Menus déroulants'!$K$4)</f>
        <v>0</v>
      </c>
      <c r="D119" s="140">
        <f>COUNTIFS('Traçabilité et info patient'!$C$21:$AF$21,'Menus déroulants'!$J$2,'Traçabilité et info patient'!$C$7:$AF$7,'Données patients'!$A$79,'Traçabilité et info patient'!$C$20:$AF$20,'Données patients'!$B119,'Traçabilité et info patient'!$C$55:$AF$55,'Menus déroulants'!$H$2)</f>
        <v>0</v>
      </c>
      <c r="E119" s="136">
        <f>COUNTIFS('Traçabilité et info patient'!$C$21:$AF$21,'Menus déroulants'!$J$2,'Traçabilité et info patient'!$C$7:$AF$7,'Données patients'!$A$79,'Traçabilité et info patient'!$C$20:$AF$20,'Données patients'!$B119,'Traçabilité et info patient'!$C$63:$AF$63,'Menus déroulants'!$H$2)</f>
        <v>0</v>
      </c>
      <c r="F119" s="140">
        <f>COUNTIFS('Traçabilité et info patient'!$C$21:$AF$21,'Menus déroulants'!$J$2,'Traçabilité et info patient'!$C$7:$AF$7,'Données patients'!$A$79,'Traçabilité et info patient'!$C$20:$AF$20,'Données patients'!$B119,'Traçabilité et info patient'!$C$47:$AF$47,'Menus déroulants'!$K$4)</f>
        <v>0</v>
      </c>
      <c r="G119" s="140">
        <f>COUNTIFS('Traçabilité et info patient'!$C$21:$AF$21,'Menus déroulants'!$J$2,'Traçabilité et info patient'!$C$7:$AF$7,'Données patients'!$A$79,'Traçabilité et info patient'!$C$20:$AF$20,'Données patients'!$B119,'Traçabilité et info patient'!$C$46:$AF$46,'Menus déroulants'!$K$4)</f>
        <v>0</v>
      </c>
      <c r="H119" s="140">
        <f>COUNTIFS('Traçabilité et info patient'!$C$21:$AF$21,'Menus déroulants'!$J$2,'Traçabilité et info patient'!$C$7:$AF$7,'Données patients'!$A$79,'Traçabilité et info patient'!$C$20:$AF$20,'Données patients'!$B119,'Traçabilité et info patient'!$C$45:$AF$45,'Menus déroulants'!$K$2)</f>
        <v>0</v>
      </c>
    </row>
    <row r="120" spans="1:8" x14ac:dyDescent="0.25">
      <c r="A120" s="316"/>
      <c r="B120" s="182" t="s">
        <v>160</v>
      </c>
      <c r="C120" s="139">
        <f>COUNTIFS('Traçabilité et info patient'!$C$21:$AF$21,'Menus déroulants'!$J$2,'Traçabilité et info patient'!$C$7:$AF$7,'Données patients'!$A$79,'Traçabilité et info patient'!$C$20:$AF$20,'Données patients'!$B120,'Traçabilité et info patient'!$C$22:$AF$22,'Menus déroulants'!$K$4)</f>
        <v>0</v>
      </c>
      <c r="D120" s="139">
        <f>COUNTIFS('Traçabilité et info patient'!$C$21:$AF$21,'Menus déroulants'!$J$2,'Traçabilité et info patient'!$C$7:$AF$7,'Données patients'!$A$79,'Traçabilité et info patient'!$C$20:$AF$20,'Données patients'!$B120,'Traçabilité et info patient'!$C$55:$AF$55,'Menus déroulants'!$H$2)</f>
        <v>0</v>
      </c>
      <c r="E120" s="132">
        <f>COUNTIFS('Traçabilité et info patient'!$C$21:$AF$21,'Menus déroulants'!$J$2,'Traçabilité et info patient'!$C$7:$AF$7,'Données patients'!$A$79,'Traçabilité et info patient'!$C$20:$AF$20,'Données patients'!$B120,'Traçabilité et info patient'!$C$63:$AF$63,'Menus déroulants'!$H$2)</f>
        <v>0</v>
      </c>
      <c r="F120" s="139">
        <f>COUNTIFS('Traçabilité et info patient'!$C$21:$AF$21,'Menus déroulants'!$J$2,'Traçabilité et info patient'!$C$7:$AF$7,'Données patients'!$A$79,'Traçabilité et info patient'!$C$20:$AF$20,'Données patients'!$B120,'Traçabilité et info patient'!$C$47:$AF$47,'Menus déroulants'!$K$4)</f>
        <v>0</v>
      </c>
      <c r="G120" s="139">
        <f>COUNTIFS('Traçabilité et info patient'!$C$21:$AF$21,'Menus déroulants'!$J$2,'Traçabilité et info patient'!$C$7:$AF$7,'Données patients'!$A$79,'Traçabilité et info patient'!$C$20:$AF$20,'Données patients'!$B120,'Traçabilité et info patient'!$C$46:$AF$46,'Menus déroulants'!$K$4)</f>
        <v>0</v>
      </c>
      <c r="H120" s="139">
        <f>COUNTIFS('Traçabilité et info patient'!$C$21:$AF$21,'Menus déroulants'!$J$2,'Traçabilité et info patient'!$C$7:$AF$7,'Données patients'!$A$79,'Traçabilité et info patient'!$C$20:$AF$20,'Données patients'!$B120,'Traçabilité et info patient'!$C$45:$AF$45,'Menus déroulants'!$K$2)</f>
        <v>0</v>
      </c>
    </row>
    <row r="121" spans="1:8" ht="15.75" thickBot="1" x14ac:dyDescent="0.3">
      <c r="A121" s="317"/>
      <c r="B121" s="184" t="s">
        <v>161</v>
      </c>
      <c r="C121" s="141">
        <f>COUNTIFS('Traçabilité et info patient'!$C$21:$AF$21,'Menus déroulants'!$J$2,'Traçabilité et info patient'!$C$7:$AF$7,'Données patients'!$A$79,'Traçabilité et info patient'!$C$20:$AF$20,'Données patients'!$B121,'Traçabilité et info patient'!$C$22:$AF$22,'Menus déroulants'!$K$4)</f>
        <v>0</v>
      </c>
      <c r="D121" s="141">
        <f>COUNTIFS('Traçabilité et info patient'!$C$21:$AF$21,'Menus déroulants'!$J$2,'Traçabilité et info patient'!$C$7:$AF$7,'Données patients'!$A$79,'Traçabilité et info patient'!$C$20:$AF$20,'Données patients'!$B121,'Traçabilité et info patient'!$C$55:$AF$55,'Menus déroulants'!$H$2)</f>
        <v>0</v>
      </c>
      <c r="E121" s="134">
        <f>COUNTIFS('Traçabilité et info patient'!$C$21:$AF$21,'Menus déroulants'!$J$2,'Traçabilité et info patient'!$C$7:$AF$7,'Données patients'!$A$79,'Traçabilité et info patient'!$C$20:$AF$20,'Données patients'!$B121,'Traçabilité et info patient'!$C$63:$AF$63,'Menus déroulants'!$H$2)</f>
        <v>0</v>
      </c>
      <c r="F121" s="141">
        <f>COUNTIFS('Traçabilité et info patient'!$C$21:$AF$21,'Menus déroulants'!$J$2,'Traçabilité et info patient'!$C$7:$AF$7,'Données patients'!$A$79,'Traçabilité et info patient'!$C$20:$AF$20,'Données patients'!$B121,'Traçabilité et info patient'!$C$47:$AF$47,'Menus déroulants'!$K$4)</f>
        <v>0</v>
      </c>
      <c r="G121" s="141">
        <f>COUNTIFS('Traçabilité et info patient'!$C$21:$AF$21,'Menus déroulants'!$J$2,'Traçabilité et info patient'!$C$7:$AF$7,'Données patients'!$A$79,'Traçabilité et info patient'!$C$20:$AF$20,'Données patients'!$B121,'Traçabilité et info patient'!$C$46:$AF$46,'Menus déroulants'!$K$4)</f>
        <v>0</v>
      </c>
      <c r="H121" s="141">
        <f>COUNTIFS('Traçabilité et info patient'!$C$21:$AF$21,'Menus déroulants'!$J$2,'Traçabilité et info patient'!$C$7:$AF$7,'Données patients'!$A$79,'Traçabilité et info patient'!$C$20:$AF$20,'Données patients'!$B121,'Traçabilité et info patient'!$C$45:$AF$45,'Menus déroulants'!$K$2)</f>
        <v>0</v>
      </c>
    </row>
    <row r="122" spans="1:8" ht="15.75" thickBot="1" x14ac:dyDescent="0.3">
      <c r="A122" s="294" t="s">
        <v>193</v>
      </c>
      <c r="B122" s="181" t="s">
        <v>157</v>
      </c>
      <c r="C122" s="138">
        <f>COUNTIFS('Traçabilité et info patient'!$C$21:$AF$21,'Menus déroulants'!$J$2,'Traçabilité et info patient'!$C$7:$AF$7,'Données patients'!$A$84,'Traçabilité et info patient'!$C$20:$AF$20,'Données patients'!$B122,'Traçabilité et info patient'!$C$22:$AF$22,'Menus déroulants'!$K$4)</f>
        <v>0</v>
      </c>
      <c r="D122" s="138">
        <f>COUNTIFS('Traçabilité et info patient'!$C$21:$AF$21,'Menus déroulants'!$J$2,'Traçabilité et info patient'!$C$7:$AF$7,'Données patients'!$A$84,'Traçabilité et info patient'!$C$20:$AF$20,'Données patients'!$B122,'Traçabilité et info patient'!$C$55:$AF$55,'Menus déroulants'!$H$2)</f>
        <v>0</v>
      </c>
      <c r="E122" s="131">
        <f>COUNTIFS('Traçabilité et info patient'!$C$21:$AF$21,'Menus déroulants'!$J$2,'Traçabilité et info patient'!$C$7:$AF$7,'Données patients'!$A$84,'Traçabilité et info patient'!$C$20:$AF$20,'Données patients'!$B122,'Traçabilité et info patient'!$C$63:$AF$63,'Menus déroulants'!$H$2)</f>
        <v>0</v>
      </c>
      <c r="F122" s="138">
        <f>COUNTIFS('Traçabilité et info patient'!$C$21:$AF$21,'Menus déroulants'!$J$2,'Traçabilité et info patient'!$C$7:$AF$7,'Données patients'!$A$84,'Traçabilité et info patient'!$C$20:$AF$20,'Données patients'!$B122,'Traçabilité et info patient'!$C$47:$AF$47,'Menus déroulants'!$K$4)</f>
        <v>0</v>
      </c>
      <c r="G122" s="138">
        <f>COUNTIFS('Traçabilité et info patient'!$C$21:$AF$21,'Menus déroulants'!$J$2,'Traçabilité et info patient'!$C$7:$AF$7,'Données patients'!$A$84,'Traçabilité et info patient'!$C$20:$AF$20,'Données patients'!$B122,'Traçabilité et info patient'!$C$46:$AF$46,'Menus déroulants'!$K$4)</f>
        <v>0</v>
      </c>
      <c r="H122" s="138">
        <f>COUNTIFS('Traçabilité et info patient'!$C$21:$AF$21,'Menus déroulants'!$J$2,'Traçabilité et info patient'!$C$7:$AF$7,'Données patients'!$A$84,'Traçabilité et info patient'!$C$20:$AF$20,'Données patients'!$B122,'Traçabilité et info patient'!$C$45:$AF$45,'Menus déroulants'!$K$2)</f>
        <v>0</v>
      </c>
    </row>
    <row r="123" spans="1:8" ht="15.75" thickBot="1" x14ac:dyDescent="0.3">
      <c r="A123" s="294"/>
      <c r="B123" s="182" t="s">
        <v>158</v>
      </c>
      <c r="C123" s="139">
        <f>COUNTIFS('Traçabilité et info patient'!$C$21:$AF$21,'Menus déroulants'!$J$2,'Traçabilité et info patient'!$C$7:$AF$7,'Données patients'!$A$84,'Traçabilité et info patient'!$C$20:$AF$20,'Données patients'!$B123,'Traçabilité et info patient'!$C$22:$AF$22,'Menus déroulants'!$K$4)</f>
        <v>0</v>
      </c>
      <c r="D123" s="139">
        <f>COUNTIFS('Traçabilité et info patient'!$C$21:$AF$21,'Menus déroulants'!$J$2,'Traçabilité et info patient'!$C$7:$AF$7,'Données patients'!$A$84,'Traçabilité et info patient'!$C$20:$AF$20,'Données patients'!$B123,'Traçabilité et info patient'!$C$55:$AF$55,'Menus déroulants'!$H$2)</f>
        <v>0</v>
      </c>
      <c r="E123" s="132">
        <f>COUNTIFS('Traçabilité et info patient'!$C$21:$AF$21,'Menus déroulants'!$J$2,'Traçabilité et info patient'!$C$7:$AF$7,'Données patients'!$A$84,'Traçabilité et info patient'!$C$20:$AF$20,'Données patients'!$B123,'Traçabilité et info patient'!$C$63:$AF$63,'Menus déroulants'!$H$2)</f>
        <v>0</v>
      </c>
      <c r="F123" s="139">
        <f>COUNTIFS('Traçabilité et info patient'!$C$21:$AF$21,'Menus déroulants'!$J$2,'Traçabilité et info patient'!$C$7:$AF$7,'Données patients'!$A$84,'Traçabilité et info patient'!$C$20:$AF$20,'Données patients'!$B123,'Traçabilité et info patient'!$C$47:$AF$47,'Menus déroulants'!$K$4)</f>
        <v>0</v>
      </c>
      <c r="G123" s="139">
        <f>COUNTIFS('Traçabilité et info patient'!$C$21:$AF$21,'Menus déroulants'!$J$2,'Traçabilité et info patient'!$C$7:$AF$7,'Données patients'!$A$84,'Traçabilité et info patient'!$C$20:$AF$20,'Données patients'!$B123,'Traçabilité et info patient'!$C$46:$AF$46,'Menus déroulants'!$K$4)</f>
        <v>0</v>
      </c>
      <c r="H123" s="139">
        <f>COUNTIFS('Traçabilité et info patient'!$C$21:$AF$21,'Menus déroulants'!$J$2,'Traçabilité et info patient'!$C$7:$AF$7,'Données patients'!$A$84,'Traçabilité et info patient'!$C$20:$AF$20,'Données patients'!$B123,'Traçabilité et info patient'!$C$45:$AF$45,'Menus déroulants'!$K$2)</f>
        <v>0</v>
      </c>
    </row>
    <row r="124" spans="1:8" ht="15.75" thickBot="1" x14ac:dyDescent="0.3">
      <c r="A124" s="294"/>
      <c r="B124" s="183" t="s">
        <v>159</v>
      </c>
      <c r="C124" s="140">
        <f>COUNTIFS('Traçabilité et info patient'!$C$21:$AF$21,'Menus déroulants'!$J$2,'Traçabilité et info patient'!$C$7:$AF$7,'Données patients'!$A$84,'Traçabilité et info patient'!$C$20:$AF$20,'Données patients'!$B124,'Traçabilité et info patient'!$C$22:$AF$22,'Menus déroulants'!$K$4)</f>
        <v>0</v>
      </c>
      <c r="D124" s="140">
        <f>COUNTIFS('Traçabilité et info patient'!$C$21:$AF$21,'Menus déroulants'!$J$2,'Traçabilité et info patient'!$C$7:$AF$7,'Données patients'!$A$84,'Traçabilité et info patient'!$C$20:$AF$20,'Données patients'!$B124,'Traçabilité et info patient'!$C$55:$AF$55,'Menus déroulants'!$H$2)</f>
        <v>0</v>
      </c>
      <c r="E124" s="136">
        <f>COUNTIFS('Traçabilité et info patient'!$C$21:$AF$21,'Menus déroulants'!$J$2,'Traçabilité et info patient'!$C$7:$AF$7,'Données patients'!$A$84,'Traçabilité et info patient'!$C$20:$AF$20,'Données patients'!$B124,'Traçabilité et info patient'!$C$63:$AF$63,'Menus déroulants'!$H$2)</f>
        <v>0</v>
      </c>
      <c r="F124" s="140">
        <f>COUNTIFS('Traçabilité et info patient'!$C$21:$AF$21,'Menus déroulants'!$J$2,'Traçabilité et info patient'!$C$7:$AF$7,'Données patients'!$A$84,'Traçabilité et info patient'!$C$20:$AF$20,'Données patients'!$B124,'Traçabilité et info patient'!$C$47:$AF$47,'Menus déroulants'!$K$4)</f>
        <v>0</v>
      </c>
      <c r="G124" s="140">
        <f>COUNTIFS('Traçabilité et info patient'!$C$21:$AF$21,'Menus déroulants'!$J$2,'Traçabilité et info patient'!$C$7:$AF$7,'Données patients'!$A$84,'Traçabilité et info patient'!$C$20:$AF$20,'Données patients'!$B124,'Traçabilité et info patient'!$C$46:$AF$46,'Menus déroulants'!$K$4)</f>
        <v>0</v>
      </c>
      <c r="H124" s="140">
        <f>COUNTIFS('Traçabilité et info patient'!$C$21:$AF$21,'Menus déroulants'!$J$2,'Traçabilité et info patient'!$C$7:$AF$7,'Données patients'!$A$84,'Traçabilité et info patient'!$C$20:$AF$20,'Données patients'!$B124,'Traçabilité et info patient'!$C$45:$AF$45,'Menus déroulants'!$K$2)</f>
        <v>0</v>
      </c>
    </row>
    <row r="125" spans="1:8" ht="15.75" thickBot="1" x14ac:dyDescent="0.3">
      <c r="A125" s="294"/>
      <c r="B125" s="182" t="s">
        <v>160</v>
      </c>
      <c r="C125" s="139">
        <f>COUNTIFS('Traçabilité et info patient'!$C$21:$AF$21,'Menus déroulants'!$J$2,'Traçabilité et info patient'!$C$7:$AF$7,'Données patients'!$A$84,'Traçabilité et info patient'!$C$20:$AF$20,'Données patients'!$B125,'Traçabilité et info patient'!$C$22:$AF$22,'Menus déroulants'!$K$4)</f>
        <v>0</v>
      </c>
      <c r="D125" s="139">
        <f>COUNTIFS('Traçabilité et info patient'!$C$21:$AF$21,'Menus déroulants'!$J$2,'Traçabilité et info patient'!$C$7:$AF$7,'Données patients'!$A$84,'Traçabilité et info patient'!$C$20:$AF$20,'Données patients'!$B125,'Traçabilité et info patient'!$C$55:$AF$55,'Menus déroulants'!$H$2)</f>
        <v>0</v>
      </c>
      <c r="E125" s="132">
        <f>COUNTIFS('Traçabilité et info patient'!$C$21:$AF$21,'Menus déroulants'!$J$2,'Traçabilité et info patient'!$C$7:$AF$7,'Données patients'!$A$84,'Traçabilité et info patient'!$C$20:$AF$20,'Données patients'!$B125,'Traçabilité et info patient'!$C$63:$AF$63,'Menus déroulants'!$H$2)</f>
        <v>0</v>
      </c>
      <c r="F125" s="139">
        <f>COUNTIFS('Traçabilité et info patient'!$C$21:$AF$21,'Menus déroulants'!$J$2,'Traçabilité et info patient'!$C$7:$AF$7,'Données patients'!$A$84,'Traçabilité et info patient'!$C$20:$AF$20,'Données patients'!$B125,'Traçabilité et info patient'!$C$47:$AF$47,'Menus déroulants'!$K$4)</f>
        <v>0</v>
      </c>
      <c r="G125" s="139">
        <f>COUNTIFS('Traçabilité et info patient'!$C$21:$AF$21,'Menus déroulants'!$J$2,'Traçabilité et info patient'!$C$7:$AF$7,'Données patients'!$A$84,'Traçabilité et info patient'!$C$20:$AF$20,'Données patients'!$B125,'Traçabilité et info patient'!$C$46:$AF$46,'Menus déroulants'!$K$4)</f>
        <v>0</v>
      </c>
      <c r="H125" s="139">
        <f>COUNTIFS('Traçabilité et info patient'!$C$21:$AF$21,'Menus déroulants'!$J$2,'Traçabilité et info patient'!$C$7:$AF$7,'Données patients'!$A$84,'Traçabilité et info patient'!$C$20:$AF$20,'Données patients'!$B125,'Traçabilité et info patient'!$C$45:$AF$45,'Menus déroulants'!$K$2)</f>
        <v>0</v>
      </c>
    </row>
    <row r="126" spans="1:8" ht="15.75" thickBot="1" x14ac:dyDescent="0.3">
      <c r="A126" s="294"/>
      <c r="B126" s="184" t="s">
        <v>161</v>
      </c>
      <c r="C126" s="141">
        <f>COUNTIFS('Traçabilité et info patient'!$C$21:$AF$21,'Menus déroulants'!$J$2,'Traçabilité et info patient'!$C$7:$AF$7,'Données patients'!$A$84,'Traçabilité et info patient'!$C$20:$AF$20,'Données patients'!$B126,'Traçabilité et info patient'!$C$22:$AF$22,'Menus déroulants'!$K$4)</f>
        <v>0</v>
      </c>
      <c r="D126" s="141">
        <f>COUNTIFS('Traçabilité et info patient'!$C$21:$AF$21,'Menus déroulants'!$J$2,'Traçabilité et info patient'!$C$7:$AF$7,'Données patients'!$A$84,'Traçabilité et info patient'!$C$20:$AF$20,'Données patients'!$B126,'Traçabilité et info patient'!$C$55:$AF$55,'Menus déroulants'!$H$2)</f>
        <v>0</v>
      </c>
      <c r="E126" s="134">
        <f>COUNTIFS('Traçabilité et info patient'!$C$21:$AF$21,'Menus déroulants'!$J$2,'Traçabilité et info patient'!$C$7:$AF$7,'Données patients'!$A$84,'Traçabilité et info patient'!$C$20:$AF$20,'Données patients'!$B126,'Traçabilité et info patient'!$C$63:$AF$63,'Menus déroulants'!$H$2)</f>
        <v>0</v>
      </c>
      <c r="F126" s="141">
        <f>COUNTIFS('Traçabilité et info patient'!$C$21:$AF$21,'Menus déroulants'!$J$2,'Traçabilité et info patient'!$C$7:$AF$7,'Données patients'!$A$84,'Traçabilité et info patient'!$C$20:$AF$20,'Données patients'!$B126,'Traçabilité et info patient'!$C$47:$AF$47,'Menus déroulants'!$K$4)</f>
        <v>0</v>
      </c>
      <c r="G126" s="141">
        <f>COUNTIFS('Traçabilité et info patient'!$C$21:$AF$21,'Menus déroulants'!$J$2,'Traçabilité et info patient'!$C$7:$AF$7,'Données patients'!$A$84,'Traçabilité et info patient'!$C$20:$AF$20,'Données patients'!$B126,'Traçabilité et info patient'!$C$46:$AF$46,'Menus déroulants'!$K$4)</f>
        <v>0</v>
      </c>
      <c r="H126" s="141">
        <f>COUNTIFS('Traçabilité et info patient'!$C$21:$AF$21,'Menus déroulants'!$J$2,'Traçabilité et info patient'!$C$7:$AF$7,'Données patients'!$A$84,'Traçabilité et info patient'!$C$20:$AF$20,'Données patients'!$B126,'Traçabilité et info patient'!$C$45:$AF$45,'Menus déroulants'!$K$2)</f>
        <v>0</v>
      </c>
    </row>
    <row r="127" spans="1:8" ht="15.75" thickBot="1" x14ac:dyDescent="0.3">
      <c r="A127" s="293" t="s">
        <v>194</v>
      </c>
      <c r="B127" s="181" t="s">
        <v>157</v>
      </c>
      <c r="C127" s="138">
        <f>COUNTIFS('Traçabilité et info patient'!$C$21:$AF$21,'Menus déroulants'!$J$2,'Traçabilité et info patient'!$C$7:$AF$7,'Données patients'!$A$89,'Traçabilité et info patient'!$C$20:$AF$20,'Données patients'!$B127,'Traçabilité et info patient'!$C$22:$AF$22,'Menus déroulants'!$K$4)</f>
        <v>0</v>
      </c>
      <c r="D127" s="138">
        <f>COUNTIFS('Traçabilité et info patient'!$C$21:$AF$21,'Menus déroulants'!$J$2,'Traçabilité et info patient'!$C$7:$AF$7,'Données patients'!$A$89,'Traçabilité et info patient'!$C$20:$AF$20,'Données patients'!$B127,'Traçabilité et info patient'!$C$55:$AF$55,'Menus déroulants'!$H$2)</f>
        <v>0</v>
      </c>
      <c r="E127" s="131">
        <f>COUNTIFS('Traçabilité et info patient'!$C$21:$AF$21,'Menus déroulants'!$J$2,'Traçabilité et info patient'!$C$7:$AF$7,'Données patients'!$A$89,'Traçabilité et info patient'!$C$20:$AF$20,'Données patients'!$B127,'Traçabilité et info patient'!$C$63:$AF$63,'Menus déroulants'!$H$2)</f>
        <v>0</v>
      </c>
      <c r="F127" s="138">
        <f>COUNTIFS('Traçabilité et info patient'!$C$21:$AF$21,'Menus déroulants'!$J$2,'Traçabilité et info patient'!$C$7:$AF$7,'Données patients'!$A$89,'Traçabilité et info patient'!$C$20:$AF$20,'Données patients'!$B127,'Traçabilité et info patient'!$C$47:$AF$47,'Menus déroulants'!$K$4)</f>
        <v>0</v>
      </c>
      <c r="G127" s="138">
        <f>COUNTIFS('Traçabilité et info patient'!$C$21:$AF$21,'Menus déroulants'!$J$2,'Traçabilité et info patient'!$C$7:$AF$7,'Données patients'!$A$89,'Traçabilité et info patient'!$C$20:$AF$20,'Données patients'!$B127,'Traçabilité et info patient'!$C$46:$AF$46,'Menus déroulants'!$K$4)</f>
        <v>0</v>
      </c>
      <c r="H127" s="138">
        <f>COUNTIFS('Traçabilité et info patient'!$C$21:$AF$21,'Menus déroulants'!$J$2,'Traçabilité et info patient'!$C$7:$AF$7,'Données patients'!$A$89,'Traçabilité et info patient'!$C$20:$AF$20,'Données patients'!$B127,'Traçabilité et info patient'!$C$45:$AF$45,'Menus déroulants'!$K$2)</f>
        <v>0</v>
      </c>
    </row>
    <row r="128" spans="1:8" ht="15.75" thickBot="1" x14ac:dyDescent="0.3">
      <c r="A128" s="293"/>
      <c r="B128" s="182" t="s">
        <v>158</v>
      </c>
      <c r="C128" s="139">
        <f>COUNTIFS('Traçabilité et info patient'!$C$21:$AF$21,'Menus déroulants'!$J$2,'Traçabilité et info patient'!$C$7:$AF$7,'Données patients'!$A$89,'Traçabilité et info patient'!$C$20:$AF$20,'Données patients'!$B128,'Traçabilité et info patient'!$C$22:$AF$22,'Menus déroulants'!$K$4)</f>
        <v>0</v>
      </c>
      <c r="D128" s="139">
        <f>COUNTIFS('Traçabilité et info patient'!$C$21:$AF$21,'Menus déroulants'!$J$2,'Traçabilité et info patient'!$C$7:$AF$7,'Données patients'!$A$89,'Traçabilité et info patient'!$C$20:$AF$20,'Données patients'!$B128,'Traçabilité et info patient'!$C$55:$AF$55,'Menus déroulants'!$H$2)</f>
        <v>0</v>
      </c>
      <c r="E128" s="132">
        <f>COUNTIFS('Traçabilité et info patient'!$C$21:$AF$21,'Menus déroulants'!$J$2,'Traçabilité et info patient'!$C$7:$AF$7,'Données patients'!$A$89,'Traçabilité et info patient'!$C$20:$AF$20,'Données patients'!$B128,'Traçabilité et info patient'!$C$63:$AF$63,'Menus déroulants'!$H$2)</f>
        <v>0</v>
      </c>
      <c r="F128" s="139">
        <f>COUNTIFS('Traçabilité et info patient'!$C$21:$AF$21,'Menus déroulants'!$J$2,'Traçabilité et info patient'!$C$7:$AF$7,'Données patients'!$A$89,'Traçabilité et info patient'!$C$20:$AF$20,'Données patients'!$B128,'Traçabilité et info patient'!$C$47:$AF$47,'Menus déroulants'!$K$4)</f>
        <v>0</v>
      </c>
      <c r="G128" s="139">
        <f>COUNTIFS('Traçabilité et info patient'!$C$21:$AF$21,'Menus déroulants'!$J$2,'Traçabilité et info patient'!$C$7:$AF$7,'Données patients'!$A$89,'Traçabilité et info patient'!$C$20:$AF$20,'Données patients'!$B128,'Traçabilité et info patient'!$C$46:$AF$46,'Menus déroulants'!$K$4)</f>
        <v>0</v>
      </c>
      <c r="H128" s="139">
        <f>COUNTIFS('Traçabilité et info patient'!$C$21:$AF$21,'Menus déroulants'!$J$2,'Traçabilité et info patient'!$C$7:$AF$7,'Données patients'!$A$89,'Traçabilité et info patient'!$C$20:$AF$20,'Données patients'!$B128,'Traçabilité et info patient'!$C$45:$AF$45,'Menus déroulants'!$K$2)</f>
        <v>0</v>
      </c>
    </row>
    <row r="129" spans="1:14" ht="15.75" thickBot="1" x14ac:dyDescent="0.3">
      <c r="A129" s="293"/>
      <c r="B129" s="183" t="s">
        <v>159</v>
      </c>
      <c r="C129" s="140">
        <f>COUNTIFS('Traçabilité et info patient'!$C$21:$AF$21,'Menus déroulants'!$J$2,'Traçabilité et info patient'!$C$7:$AF$7,'Données patients'!$A$89,'Traçabilité et info patient'!$C$20:$AF$20,'Données patients'!$B129,'Traçabilité et info patient'!$C$22:$AF$22,'Menus déroulants'!$K$4)</f>
        <v>0</v>
      </c>
      <c r="D129" s="140">
        <f>COUNTIFS('Traçabilité et info patient'!$C$21:$AF$21,'Menus déroulants'!$J$2,'Traçabilité et info patient'!$C$7:$AF$7,'Données patients'!$A$89,'Traçabilité et info patient'!$C$20:$AF$20,'Données patients'!$B129,'Traçabilité et info patient'!$C$55:$AF$55,'Menus déroulants'!$H$2)</f>
        <v>0</v>
      </c>
      <c r="E129" s="136">
        <f>COUNTIFS('Traçabilité et info patient'!$C$21:$AF$21,'Menus déroulants'!$J$2,'Traçabilité et info patient'!$C$7:$AF$7,'Données patients'!$A$89,'Traçabilité et info patient'!$C$20:$AF$20,'Données patients'!$B129,'Traçabilité et info patient'!$C$63:$AF$63,'Menus déroulants'!$H$2)</f>
        <v>0</v>
      </c>
      <c r="F129" s="140">
        <f>COUNTIFS('Traçabilité et info patient'!$C$21:$AF$21,'Menus déroulants'!$J$2,'Traçabilité et info patient'!$C$7:$AF$7,'Données patients'!$A$89,'Traçabilité et info patient'!$C$20:$AF$20,'Données patients'!$B129,'Traçabilité et info patient'!$C$47:$AF$47,'Menus déroulants'!$K$4)</f>
        <v>0</v>
      </c>
      <c r="G129" s="140">
        <f>COUNTIFS('Traçabilité et info patient'!$C$21:$AF$21,'Menus déroulants'!$J$2,'Traçabilité et info patient'!$C$7:$AF$7,'Données patients'!$A$89,'Traçabilité et info patient'!$C$20:$AF$20,'Données patients'!$B129,'Traçabilité et info patient'!$C$46:$AF$46,'Menus déroulants'!$K$4)</f>
        <v>0</v>
      </c>
      <c r="H129" s="140">
        <f>COUNTIFS('Traçabilité et info patient'!$C$21:$AF$21,'Menus déroulants'!$J$2,'Traçabilité et info patient'!$C$7:$AF$7,'Données patients'!$A$89,'Traçabilité et info patient'!$C$20:$AF$20,'Données patients'!$B129,'Traçabilité et info patient'!$C$45:$AF$45,'Menus déroulants'!$K$2)</f>
        <v>0</v>
      </c>
    </row>
    <row r="130" spans="1:14" ht="15.75" thickBot="1" x14ac:dyDescent="0.3">
      <c r="A130" s="293"/>
      <c r="B130" s="182" t="s">
        <v>160</v>
      </c>
      <c r="C130" s="139">
        <f>COUNTIFS('Traçabilité et info patient'!$C$21:$AF$21,'Menus déroulants'!$J$2,'Traçabilité et info patient'!$C$7:$AF$7,'Données patients'!$A$89,'Traçabilité et info patient'!$C$20:$AF$20,'Données patients'!$B130,'Traçabilité et info patient'!$C$22:$AF$22,'Menus déroulants'!$K$4)</f>
        <v>0</v>
      </c>
      <c r="D130" s="139">
        <f>COUNTIFS('Traçabilité et info patient'!$C$21:$AF$21,'Menus déroulants'!$J$2,'Traçabilité et info patient'!$C$7:$AF$7,'Données patients'!$A$89,'Traçabilité et info patient'!$C$20:$AF$20,'Données patients'!$B130,'Traçabilité et info patient'!$C$55:$AF$55,'Menus déroulants'!$H$2)</f>
        <v>0</v>
      </c>
      <c r="E130" s="132">
        <f>COUNTIFS('Traçabilité et info patient'!$C$21:$AF$21,'Menus déroulants'!$J$2,'Traçabilité et info patient'!$C$7:$AF$7,'Données patients'!$A$89,'Traçabilité et info patient'!$C$20:$AF$20,'Données patients'!$B130,'Traçabilité et info patient'!$C$63:$AF$63,'Menus déroulants'!$H$2)</f>
        <v>0</v>
      </c>
      <c r="F130" s="139">
        <f>COUNTIFS('Traçabilité et info patient'!$C$21:$AF$21,'Menus déroulants'!$J$2,'Traçabilité et info patient'!$C$7:$AF$7,'Données patients'!$A$89,'Traçabilité et info patient'!$C$20:$AF$20,'Données patients'!$B130,'Traçabilité et info patient'!$C$47:$AF$47,'Menus déroulants'!$K$4)</f>
        <v>0</v>
      </c>
      <c r="G130" s="139">
        <f>COUNTIFS('Traçabilité et info patient'!$C$21:$AF$21,'Menus déroulants'!$J$2,'Traçabilité et info patient'!$C$7:$AF$7,'Données patients'!$A$89,'Traçabilité et info patient'!$C$20:$AF$20,'Données patients'!$B130,'Traçabilité et info patient'!$C$46:$AF$46,'Menus déroulants'!$K$4)</f>
        <v>0</v>
      </c>
      <c r="H130" s="139">
        <f>COUNTIFS('Traçabilité et info patient'!$C$21:$AF$21,'Menus déroulants'!$J$2,'Traçabilité et info patient'!$C$7:$AF$7,'Données patients'!$A$89,'Traçabilité et info patient'!$C$20:$AF$20,'Données patients'!$B130,'Traçabilité et info patient'!$C$45:$AF$45,'Menus déroulants'!$K$2)</f>
        <v>0</v>
      </c>
    </row>
    <row r="131" spans="1:14" ht="15.75" thickBot="1" x14ac:dyDescent="0.3">
      <c r="A131" s="293"/>
      <c r="B131" s="184" t="s">
        <v>161</v>
      </c>
      <c r="C131" s="141">
        <f>COUNTIFS('Traçabilité et info patient'!$C$21:$AF$21,'Menus déroulants'!$J$2,'Traçabilité et info patient'!$C$7:$AF$7,'Données patients'!$A$89,'Traçabilité et info patient'!$C$20:$AF$20,'Données patients'!$B131,'Traçabilité et info patient'!$C$22:$AF$22,'Menus déroulants'!$K$4)</f>
        <v>0</v>
      </c>
      <c r="D131" s="141">
        <f>COUNTIFS('Traçabilité et info patient'!$C$21:$AF$21,'Menus déroulants'!$J$2,'Traçabilité et info patient'!$C$7:$AF$7,'Données patients'!$A$89,'Traçabilité et info patient'!$C$20:$AF$20,'Données patients'!$B131,'Traçabilité et info patient'!$C$55:$AF$55,'Menus déroulants'!$H$2)</f>
        <v>0</v>
      </c>
      <c r="E131" s="134">
        <f>COUNTIFS('Traçabilité et info patient'!$C$21:$AF$21,'Menus déroulants'!$J$2,'Traçabilité et info patient'!$C$7:$AF$7,'Données patients'!$A$89,'Traçabilité et info patient'!$C$20:$AF$20,'Données patients'!$B131,'Traçabilité et info patient'!$C$63:$AF$63,'Menus déroulants'!$H$2)</f>
        <v>0</v>
      </c>
      <c r="F131" s="141">
        <f>COUNTIFS('Traçabilité et info patient'!$C$21:$AF$21,'Menus déroulants'!$J$2,'Traçabilité et info patient'!$C$7:$AF$7,'Données patients'!$A$89,'Traçabilité et info patient'!$C$20:$AF$20,'Données patients'!$B131,'Traçabilité et info patient'!$C$47:$AF$47,'Menus déroulants'!$K$4)</f>
        <v>0</v>
      </c>
      <c r="G131" s="141">
        <f>COUNTIFS('Traçabilité et info patient'!$C$21:$AF$21,'Menus déroulants'!$J$2,'Traçabilité et info patient'!$C$7:$AF$7,'Données patients'!$A$89,'Traçabilité et info patient'!$C$20:$AF$20,'Données patients'!$B131,'Traçabilité et info patient'!$C$46:$AF$46,'Menus déroulants'!$K$4)</f>
        <v>0</v>
      </c>
      <c r="H131" s="141">
        <f>COUNTIFS('Traçabilité et info patient'!$C$21:$AF$21,'Menus déroulants'!$J$2,'Traçabilité et info patient'!$C$7:$AF$7,'Données patients'!$A$89,'Traçabilité et info patient'!$C$20:$AF$20,'Données patients'!$B131,'Traçabilité et info patient'!$C$45:$AF$45,'Menus déroulants'!$K$2)</f>
        <v>0</v>
      </c>
    </row>
    <row r="132" spans="1:14" ht="15.75" thickBot="1" x14ac:dyDescent="0.3">
      <c r="A132" s="294" t="s">
        <v>195</v>
      </c>
      <c r="B132" s="181" t="s">
        <v>157</v>
      </c>
      <c r="C132" s="138">
        <f>COUNTIFS('Traçabilité et info patient'!$C$21:$AF$21,'Menus déroulants'!$J$2,'Traçabilité et info patient'!$C$7:$AF$7,'Données patients'!$A$94,'Traçabilité et info patient'!$C$20:$AF$20,'Données patients'!$B132,'Traçabilité et info patient'!$C$22:$AF$22,'Menus déroulants'!$K$4)</f>
        <v>0</v>
      </c>
      <c r="D132" s="138">
        <f>COUNTIFS('Traçabilité et info patient'!$C$21:$AF$21,'Menus déroulants'!$J$2,'Traçabilité et info patient'!$C$7:$AF$7,'Données patients'!$A$94,'Traçabilité et info patient'!$C$20:$AF$20,'Données patients'!$B132,'Traçabilité et info patient'!$C$55:$AF$55,'Menus déroulants'!$H$2)</f>
        <v>0</v>
      </c>
      <c r="E132" s="131">
        <f>COUNTIFS('Traçabilité et info patient'!$C$21:$AF$21,'Menus déroulants'!$J$2,'Traçabilité et info patient'!$C$7:$AF$7,'Données patients'!$A$94,'Traçabilité et info patient'!$C$20:$AF$20,'Données patients'!$B132,'Traçabilité et info patient'!$C$63:$AF$63,'Menus déroulants'!$H$2)</f>
        <v>0</v>
      </c>
      <c r="F132" s="138">
        <f>COUNTIFS('Traçabilité et info patient'!$C$21:$AF$21,'Menus déroulants'!$J$2,'Traçabilité et info patient'!$C$7:$AF$7,'Données patients'!$A$94,'Traçabilité et info patient'!$C$20:$AF$20,'Données patients'!$B132,'Traçabilité et info patient'!$C$47:$AF$47,'Menus déroulants'!$K$4)</f>
        <v>0</v>
      </c>
      <c r="G132" s="138">
        <f>COUNTIFS('Traçabilité et info patient'!$C$21:$AF$21,'Menus déroulants'!$J$2,'Traçabilité et info patient'!$C$7:$AF$7,'Données patients'!$A$94,'Traçabilité et info patient'!$C$20:$AF$20,'Données patients'!$B132,'Traçabilité et info patient'!$C$46:$AF$46,'Menus déroulants'!$K$4)</f>
        <v>0</v>
      </c>
      <c r="H132" s="138">
        <f>COUNTIFS('Traçabilité et info patient'!$C$21:$AF$21,'Menus déroulants'!$J$2,'Traçabilité et info patient'!$C$7:$AF$7,'Données patients'!$A$94,'Traçabilité et info patient'!$C$20:$AF$20,'Données patients'!$B132,'Traçabilité et info patient'!$C$45:$AF$45,'Menus déroulants'!$K$2)</f>
        <v>0</v>
      </c>
    </row>
    <row r="133" spans="1:14" ht="15.75" thickBot="1" x14ac:dyDescent="0.3">
      <c r="A133" s="294"/>
      <c r="B133" s="182" t="s">
        <v>158</v>
      </c>
      <c r="C133" s="139">
        <f>COUNTIFS('Traçabilité et info patient'!$C$21:$AF$21,'Menus déroulants'!$J$2,'Traçabilité et info patient'!$C$7:$AF$7,'Données patients'!$A$94,'Traçabilité et info patient'!$C$20:$AF$20,'Données patients'!$B133,'Traçabilité et info patient'!$C$22:$AF$22,'Menus déroulants'!$K$4)</f>
        <v>0</v>
      </c>
      <c r="D133" s="139">
        <f>COUNTIFS('Traçabilité et info patient'!$C$21:$AF$21,'Menus déroulants'!$J$2,'Traçabilité et info patient'!$C$7:$AF$7,'Données patients'!$A$94,'Traçabilité et info patient'!$C$20:$AF$20,'Données patients'!$B133,'Traçabilité et info patient'!$C$55:$AF$55,'Menus déroulants'!$H$2)</f>
        <v>0</v>
      </c>
      <c r="E133" s="132">
        <f>COUNTIFS('Traçabilité et info patient'!$C$21:$AF$21,'Menus déroulants'!$J$2,'Traçabilité et info patient'!$C$7:$AF$7,'Données patients'!$A$94,'Traçabilité et info patient'!$C$20:$AF$20,'Données patients'!$B133,'Traçabilité et info patient'!$C$63:$AF$63,'Menus déroulants'!$H$2)</f>
        <v>0</v>
      </c>
      <c r="F133" s="139">
        <f>COUNTIFS('Traçabilité et info patient'!$C$21:$AF$21,'Menus déroulants'!$J$2,'Traçabilité et info patient'!$C$7:$AF$7,'Données patients'!$A$94,'Traçabilité et info patient'!$C$20:$AF$20,'Données patients'!$B133,'Traçabilité et info patient'!$C$47:$AF$47,'Menus déroulants'!$K$4)</f>
        <v>0</v>
      </c>
      <c r="G133" s="139">
        <f>COUNTIFS('Traçabilité et info patient'!$C$21:$AF$21,'Menus déroulants'!$J$2,'Traçabilité et info patient'!$C$7:$AF$7,'Données patients'!$A$94,'Traçabilité et info patient'!$C$20:$AF$20,'Données patients'!$B133,'Traçabilité et info patient'!$C$46:$AF$46,'Menus déroulants'!$K$4)</f>
        <v>0</v>
      </c>
      <c r="H133" s="139">
        <f>COUNTIFS('Traçabilité et info patient'!$C$21:$AF$21,'Menus déroulants'!$J$2,'Traçabilité et info patient'!$C$7:$AF$7,'Données patients'!$A$94,'Traçabilité et info patient'!$C$20:$AF$20,'Données patients'!$B133,'Traçabilité et info patient'!$C$45:$AF$45,'Menus déroulants'!$K$2)</f>
        <v>0</v>
      </c>
    </row>
    <row r="134" spans="1:14" ht="15.75" thickBot="1" x14ac:dyDescent="0.3">
      <c r="A134" s="294"/>
      <c r="B134" s="183" t="s">
        <v>159</v>
      </c>
      <c r="C134" s="140">
        <f>COUNTIFS('Traçabilité et info patient'!$C$21:$AF$21,'Menus déroulants'!$J$2,'Traçabilité et info patient'!$C$7:$AF$7,'Données patients'!$A$94,'Traçabilité et info patient'!$C$20:$AF$20,'Données patients'!$B134,'Traçabilité et info patient'!$C$22:$AF$22,'Menus déroulants'!$K$4)</f>
        <v>0</v>
      </c>
      <c r="D134" s="140">
        <f>COUNTIFS('Traçabilité et info patient'!$C$21:$AF$21,'Menus déroulants'!$J$2,'Traçabilité et info patient'!$C$7:$AF$7,'Données patients'!$A$94,'Traçabilité et info patient'!$C$20:$AF$20,'Données patients'!$B134,'Traçabilité et info patient'!$C$55:$AF$55,'Menus déroulants'!$H$2)</f>
        <v>0</v>
      </c>
      <c r="E134" s="136">
        <f>COUNTIFS('Traçabilité et info patient'!$C$21:$AF$21,'Menus déroulants'!$J$2,'Traçabilité et info patient'!$C$7:$AF$7,'Données patients'!$A$94,'Traçabilité et info patient'!$C$20:$AF$20,'Données patients'!$B134,'Traçabilité et info patient'!$C$63:$AF$63,'Menus déroulants'!$H$2)</f>
        <v>0</v>
      </c>
      <c r="F134" s="140">
        <f>COUNTIFS('Traçabilité et info patient'!$C$21:$AF$21,'Menus déroulants'!$J$2,'Traçabilité et info patient'!$C$7:$AF$7,'Données patients'!$A$94,'Traçabilité et info patient'!$C$20:$AF$20,'Données patients'!$B134,'Traçabilité et info patient'!$C$47:$AF$47,'Menus déroulants'!$K$4)</f>
        <v>0</v>
      </c>
      <c r="G134" s="140">
        <f>COUNTIFS('Traçabilité et info patient'!$C$21:$AF$21,'Menus déroulants'!$J$2,'Traçabilité et info patient'!$C$7:$AF$7,'Données patients'!$A$94,'Traçabilité et info patient'!$C$20:$AF$20,'Données patients'!$B134,'Traçabilité et info patient'!$C$46:$AF$46,'Menus déroulants'!$K$4)</f>
        <v>0</v>
      </c>
      <c r="H134" s="140">
        <f>COUNTIFS('Traçabilité et info patient'!$C$21:$AF$21,'Menus déroulants'!$J$2,'Traçabilité et info patient'!$C$7:$AF$7,'Données patients'!$A$94,'Traçabilité et info patient'!$C$20:$AF$20,'Données patients'!$B134,'Traçabilité et info patient'!$C$45:$AF$45,'Menus déroulants'!$K$2)</f>
        <v>0</v>
      </c>
    </row>
    <row r="135" spans="1:14" ht="16.5" thickBot="1" x14ac:dyDescent="0.3">
      <c r="A135" s="294"/>
      <c r="B135" s="182" t="s">
        <v>160</v>
      </c>
      <c r="C135" s="139">
        <f>COUNTIFS('Traçabilité et info patient'!$C$21:$AF$21,'Menus déroulants'!$J$2,'Traçabilité et info patient'!$C$7:$AF$7,'Données patients'!$A$94,'Traçabilité et info patient'!$C$20:$AF$20,'Données patients'!$B135,'Traçabilité et info patient'!$C$22:$AF$22,'Menus déroulants'!$K$4)</f>
        <v>0</v>
      </c>
      <c r="D135" s="139">
        <f>COUNTIFS('Traçabilité et info patient'!$C$21:$AF$21,'Menus déroulants'!$J$2,'Traçabilité et info patient'!$C$7:$AF$7,'Données patients'!$A$94,'Traçabilité et info patient'!$C$20:$AF$20,'Données patients'!$B135,'Traçabilité et info patient'!$C$55:$AF$55,'Menus déroulants'!$H$2)</f>
        <v>0</v>
      </c>
      <c r="E135" s="132">
        <f>COUNTIFS('Traçabilité et info patient'!$C$21:$AF$21,'Menus déroulants'!$J$2,'Traçabilité et info patient'!$C$7:$AF$7,'Données patients'!$A$94,'Traçabilité et info patient'!$C$20:$AF$20,'Données patients'!$B135,'Traçabilité et info patient'!$C$63:$AF$63,'Menus déroulants'!$H$2)</f>
        <v>0</v>
      </c>
      <c r="F135" s="139">
        <f>COUNTIFS('Traçabilité et info patient'!$C$21:$AF$21,'Menus déroulants'!$J$2,'Traçabilité et info patient'!$C$7:$AF$7,'Données patients'!$A$94,'Traçabilité et info patient'!$C$20:$AF$20,'Données patients'!$B135,'Traçabilité et info patient'!$C$47:$AF$47,'Menus déroulants'!$K$4)</f>
        <v>0</v>
      </c>
      <c r="G135" s="139">
        <f>COUNTIFS('Traçabilité et info patient'!$C$21:$AF$21,'Menus déroulants'!$J$2,'Traçabilité et info patient'!$C$7:$AF$7,'Données patients'!$A$94,'Traçabilité et info patient'!$C$20:$AF$20,'Données patients'!$B135,'Traçabilité et info patient'!$C$46:$AF$46,'Menus déroulants'!$K$4)</f>
        <v>0</v>
      </c>
      <c r="H135" s="139">
        <f>COUNTIFS('Traçabilité et info patient'!$C$21:$AF$21,'Menus déroulants'!$J$2,'Traçabilité et info patient'!$C$7:$AF$7,'Données patients'!$A$94,'Traçabilité et info patient'!$C$20:$AF$20,'Données patients'!$B135,'Traçabilité et info patient'!$C$45:$AF$45,'Menus déroulants'!$K$2)</f>
        <v>0</v>
      </c>
      <c r="I135" s="283" t="s">
        <v>326</v>
      </c>
      <c r="J135" s="283"/>
      <c r="K135" s="283"/>
      <c r="L135" s="283"/>
      <c r="M135" s="283"/>
      <c r="N135" s="283"/>
    </row>
    <row r="136" spans="1:14" ht="16.5" thickBot="1" x14ac:dyDescent="0.3">
      <c r="A136" s="294"/>
      <c r="B136" s="184" t="s">
        <v>161</v>
      </c>
      <c r="C136" s="141">
        <f>COUNTIFS('Traçabilité et info patient'!$C$21:$AF$21,'Menus déroulants'!$J$2,'Traçabilité et info patient'!$C$7:$AF$7,'Données patients'!$A$94,'Traçabilité et info patient'!$C$20:$AF$20,'Données patients'!$B136,'Traçabilité et info patient'!$C$22:$AF$22,'Menus déroulants'!$K$4)</f>
        <v>0</v>
      </c>
      <c r="D136" s="141">
        <f>COUNTIFS('Traçabilité et info patient'!$C$21:$AF$21,'Menus déroulants'!$J$2,'Traçabilité et info patient'!$C$7:$AF$7,'Données patients'!$A$94,'Traçabilité et info patient'!$C$20:$AF$20,'Données patients'!$B136,'Traçabilité et info patient'!$C$55:$AF$55,'Menus déroulants'!$H$2)</f>
        <v>0</v>
      </c>
      <c r="E136" s="134">
        <f>COUNTIFS('Traçabilité et info patient'!$C$21:$AF$21,'Menus déroulants'!$J$2,'Traçabilité et info patient'!$C$7:$AF$7,'Données patients'!$A$94,'Traçabilité et info patient'!$C$20:$AF$20,'Données patients'!$B136,'Traçabilité et info patient'!$C$63:$AF$63,'Menus déroulants'!$H$2)</f>
        <v>0</v>
      </c>
      <c r="F136" s="141">
        <f>COUNTIFS('Traçabilité et info patient'!$C$21:$AF$21,'Menus déroulants'!$J$2,'Traçabilité et info patient'!$C$7:$AF$7,'Données patients'!$A$94,'Traçabilité et info patient'!$C$20:$AF$20,'Données patients'!$B136,'Traçabilité et info patient'!$C$47:$AF$47,'Menus déroulants'!$K$4)</f>
        <v>0</v>
      </c>
      <c r="G136" s="141">
        <f>COUNTIFS('Traçabilité et info patient'!$C$21:$AF$21,'Menus déroulants'!$J$2,'Traçabilité et info patient'!$C$7:$AF$7,'Données patients'!$A$94,'Traçabilité et info patient'!$C$20:$AF$20,'Données patients'!$B136,'Traçabilité et info patient'!$C$46:$AF$46,'Menus déroulants'!$K$4)</f>
        <v>0</v>
      </c>
      <c r="H136" s="141">
        <f>COUNTIFS('Traçabilité et info patient'!$C$21:$AF$21,'Menus déroulants'!$J$2,'Traçabilité et info patient'!$C$7:$AF$7,'Données patients'!$A$94,'Traçabilité et info patient'!$C$20:$AF$20,'Données patients'!$B136,'Traçabilité et info patient'!$C$45:$AF$45,'Menus déroulants'!$K$2)</f>
        <v>0</v>
      </c>
      <c r="I136" s="282" t="s">
        <v>250</v>
      </c>
      <c r="J136" s="282"/>
      <c r="K136" s="282"/>
      <c r="L136" s="282"/>
      <c r="M136" s="282"/>
      <c r="N136" s="282"/>
    </row>
    <row r="137" spans="1:14" ht="15.75" thickBot="1" x14ac:dyDescent="0.3">
      <c r="A137" s="293" t="s">
        <v>196</v>
      </c>
      <c r="B137" s="181" t="s">
        <v>157</v>
      </c>
      <c r="C137" s="138">
        <f>COUNTIFS('Traçabilité et info patient'!$C$21:$AF$21,'Menus déroulants'!$J$2,'Traçabilité et info patient'!$C$7:$AF$7,'Données patients'!$A$99,'Traçabilité et info patient'!$C$20:$AF$20,'Données patients'!$B137,'Traçabilité et info patient'!$C$22:$AF$22,'Menus déroulants'!$K$4)</f>
        <v>0</v>
      </c>
      <c r="D137" s="138">
        <f>COUNTIFS('Traçabilité et info patient'!$C$21:$AF$21,'Menus déroulants'!$J$2,'Traçabilité et info patient'!$C$7:$AF$7,'Données patients'!$A$99,'Traçabilité et info patient'!$C$20:$AF$20,'Données patients'!$B137,'Traçabilité et info patient'!$C$55:$AF$55,'Menus déroulants'!$H$2)</f>
        <v>0</v>
      </c>
      <c r="E137" s="131">
        <f>COUNTIFS('Traçabilité et info patient'!$C$21:$AF$21,'Menus déroulants'!$J$2,'Traçabilité et info patient'!$C$7:$AF$7,'Données patients'!$A$99,'Traçabilité et info patient'!$C$20:$AF$20,'Données patients'!$B137,'Traçabilité et info patient'!$C$63:$AF$63,'Menus déroulants'!$H$2)</f>
        <v>0</v>
      </c>
      <c r="F137" s="138">
        <f>COUNTIFS('Traçabilité et info patient'!$C$21:$AF$21,'Menus déroulants'!$J$2,'Traçabilité et info patient'!$C$7:$AF$7,'Données patients'!$A$99,'Traçabilité et info patient'!$C$20:$AF$20,'Données patients'!$B137,'Traçabilité et info patient'!$C$47:$AF$47,'Menus déroulants'!$K$4)</f>
        <v>0</v>
      </c>
      <c r="G137" s="138">
        <f>COUNTIFS('Traçabilité et info patient'!$C$21:$AF$21,'Menus déroulants'!$J$2,'Traçabilité et info patient'!$C$7:$AF$7,'Données patients'!$A$99,'Traçabilité et info patient'!$C$20:$AF$20,'Données patients'!$B137,'Traçabilité et info patient'!$C$46:$AF$46,'Menus déroulants'!$K$4)</f>
        <v>0</v>
      </c>
      <c r="H137" s="138">
        <f>COUNTIFS('Traçabilité et info patient'!$C$21:$AF$21,'Menus déroulants'!$J$2,'Traçabilité et info patient'!$C$7:$AF$7,'Données patients'!$A$99,'Traçabilité et info patient'!$C$20:$AF$20,'Données patients'!$B137,'Traçabilité et info patient'!$C$45:$AF$45,'Menus déroulants'!$K$2)</f>
        <v>0</v>
      </c>
    </row>
    <row r="138" spans="1:14" ht="15.75" thickBot="1" x14ac:dyDescent="0.3">
      <c r="A138" s="293"/>
      <c r="B138" s="182" t="s">
        <v>158</v>
      </c>
      <c r="C138" s="139">
        <f>COUNTIFS('Traçabilité et info patient'!$C$21:$AF$21,'Menus déroulants'!$J$2,'Traçabilité et info patient'!$C$7:$AF$7,'Données patients'!$A$99,'Traçabilité et info patient'!$C$20:$AF$20,'Données patients'!$B138,'Traçabilité et info patient'!$C$22:$AF$22,'Menus déroulants'!$K$4)</f>
        <v>0</v>
      </c>
      <c r="D138" s="139">
        <f>COUNTIFS('Traçabilité et info patient'!$C$21:$AF$21,'Menus déroulants'!$J$2,'Traçabilité et info patient'!$C$7:$AF$7,'Données patients'!$A$99,'Traçabilité et info patient'!$C$20:$AF$20,'Données patients'!$B138,'Traçabilité et info patient'!$C$55:$AF$55,'Menus déroulants'!$H$2)</f>
        <v>0</v>
      </c>
      <c r="E138" s="132">
        <f>COUNTIFS('Traçabilité et info patient'!$C$21:$AF$21,'Menus déroulants'!$J$2,'Traçabilité et info patient'!$C$7:$AF$7,'Données patients'!$A$99,'Traçabilité et info patient'!$C$20:$AF$20,'Données patients'!$B138,'Traçabilité et info patient'!$C$63:$AF$63,'Menus déroulants'!$H$2)</f>
        <v>0</v>
      </c>
      <c r="F138" s="139">
        <f>COUNTIFS('Traçabilité et info patient'!$C$21:$AF$21,'Menus déroulants'!$J$2,'Traçabilité et info patient'!$C$7:$AF$7,'Données patients'!$A$99,'Traçabilité et info patient'!$C$20:$AF$20,'Données patients'!$B138,'Traçabilité et info patient'!$C$47:$AF$47,'Menus déroulants'!$K$4)</f>
        <v>0</v>
      </c>
      <c r="G138" s="139">
        <f>COUNTIFS('Traçabilité et info patient'!$C$21:$AF$21,'Menus déroulants'!$J$2,'Traçabilité et info patient'!$C$7:$AF$7,'Données patients'!$A$99,'Traçabilité et info patient'!$C$20:$AF$20,'Données patients'!$B138,'Traçabilité et info patient'!$C$46:$AF$46,'Menus déroulants'!$K$4)</f>
        <v>0</v>
      </c>
      <c r="H138" s="139">
        <f>COUNTIFS('Traçabilité et info patient'!$C$21:$AF$21,'Menus déroulants'!$J$2,'Traçabilité et info patient'!$C$7:$AF$7,'Données patients'!$A$99,'Traçabilité et info patient'!$C$20:$AF$20,'Données patients'!$B138,'Traçabilité et info patient'!$C$45:$AF$45,'Menus déroulants'!$K$2)</f>
        <v>0</v>
      </c>
    </row>
    <row r="139" spans="1:14" ht="15.75" thickBot="1" x14ac:dyDescent="0.3">
      <c r="A139" s="293"/>
      <c r="B139" s="183" t="s">
        <v>159</v>
      </c>
      <c r="C139" s="140">
        <f>COUNTIFS('Traçabilité et info patient'!$C$21:$AF$21,'Menus déroulants'!$J$2,'Traçabilité et info patient'!$C$7:$AF$7,'Données patients'!$A$99,'Traçabilité et info patient'!$C$20:$AF$20,'Données patients'!$B139,'Traçabilité et info patient'!$C$22:$AF$22,'Menus déroulants'!$K$4)</f>
        <v>0</v>
      </c>
      <c r="D139" s="140">
        <f>COUNTIFS('Traçabilité et info patient'!$C$21:$AF$21,'Menus déroulants'!$J$2,'Traçabilité et info patient'!$C$7:$AF$7,'Données patients'!$A$99,'Traçabilité et info patient'!$C$20:$AF$20,'Données patients'!$B139,'Traçabilité et info patient'!$C$55:$AF$55,'Menus déroulants'!$H$2)</f>
        <v>0</v>
      </c>
      <c r="E139" s="136">
        <f>COUNTIFS('Traçabilité et info patient'!$C$21:$AF$21,'Menus déroulants'!$J$2,'Traçabilité et info patient'!$C$7:$AF$7,'Données patients'!$A$99,'Traçabilité et info patient'!$C$20:$AF$20,'Données patients'!$B139,'Traçabilité et info patient'!$C$63:$AF$63,'Menus déroulants'!$H$2)</f>
        <v>0</v>
      </c>
      <c r="F139" s="140">
        <f>COUNTIFS('Traçabilité et info patient'!$C$21:$AF$21,'Menus déroulants'!$J$2,'Traçabilité et info patient'!$C$7:$AF$7,'Données patients'!$A$99,'Traçabilité et info patient'!$C$20:$AF$20,'Données patients'!$B139,'Traçabilité et info patient'!$C$47:$AF$47,'Menus déroulants'!$K$4)</f>
        <v>0</v>
      </c>
      <c r="G139" s="140">
        <f>COUNTIFS('Traçabilité et info patient'!$C$21:$AF$21,'Menus déroulants'!$J$2,'Traçabilité et info patient'!$C$7:$AF$7,'Données patients'!$A$99,'Traçabilité et info patient'!$C$20:$AF$20,'Données patients'!$B139,'Traçabilité et info patient'!$C$46:$AF$46,'Menus déroulants'!$K$4)</f>
        <v>0</v>
      </c>
      <c r="H139" s="140">
        <f>COUNTIFS('Traçabilité et info patient'!$C$21:$AF$21,'Menus déroulants'!$J$2,'Traçabilité et info patient'!$C$7:$AF$7,'Données patients'!$A$99,'Traçabilité et info patient'!$C$20:$AF$20,'Données patients'!$B139,'Traçabilité et info patient'!$C$45:$AF$45,'Menus déroulants'!$K$2)</f>
        <v>0</v>
      </c>
    </row>
    <row r="140" spans="1:14" ht="15.75" thickBot="1" x14ac:dyDescent="0.3">
      <c r="A140" s="293"/>
      <c r="B140" s="182" t="s">
        <v>160</v>
      </c>
      <c r="C140" s="139">
        <f>COUNTIFS('Traçabilité et info patient'!$C$21:$AF$21,'Menus déroulants'!$J$2,'Traçabilité et info patient'!$C$7:$AF$7,'Données patients'!$A$99,'Traçabilité et info patient'!$C$20:$AF$20,'Données patients'!$B140,'Traçabilité et info patient'!$C$22:$AF$22,'Menus déroulants'!$K$4)</f>
        <v>0</v>
      </c>
      <c r="D140" s="139">
        <f>COUNTIFS('Traçabilité et info patient'!$C$21:$AF$21,'Menus déroulants'!$J$2,'Traçabilité et info patient'!$C$7:$AF$7,'Données patients'!$A$99,'Traçabilité et info patient'!$C$20:$AF$20,'Données patients'!$B140,'Traçabilité et info patient'!$C$55:$AF$55,'Menus déroulants'!$H$2)</f>
        <v>0</v>
      </c>
      <c r="E140" s="132">
        <f>COUNTIFS('Traçabilité et info patient'!$C$21:$AF$21,'Menus déroulants'!$J$2,'Traçabilité et info patient'!$C$7:$AF$7,'Données patients'!$A$99,'Traçabilité et info patient'!$C$20:$AF$20,'Données patients'!$B140,'Traçabilité et info patient'!$C$63:$AF$63,'Menus déroulants'!$H$2)</f>
        <v>0</v>
      </c>
      <c r="F140" s="139">
        <f>COUNTIFS('Traçabilité et info patient'!$C$21:$AF$21,'Menus déroulants'!$J$2,'Traçabilité et info patient'!$C$7:$AF$7,'Données patients'!$A$99,'Traçabilité et info patient'!$C$20:$AF$20,'Données patients'!$B140,'Traçabilité et info patient'!$C$47:$AF$47,'Menus déroulants'!$K$4)</f>
        <v>0</v>
      </c>
      <c r="G140" s="139">
        <f>COUNTIFS('Traçabilité et info patient'!$C$21:$AF$21,'Menus déroulants'!$J$2,'Traçabilité et info patient'!$C$7:$AF$7,'Données patients'!$A$99,'Traçabilité et info patient'!$C$20:$AF$20,'Données patients'!$B140,'Traçabilité et info patient'!$C$46:$AF$46,'Menus déroulants'!$K$4)</f>
        <v>0</v>
      </c>
      <c r="H140" s="139">
        <f>COUNTIFS('Traçabilité et info patient'!$C$21:$AF$21,'Menus déroulants'!$J$2,'Traçabilité et info patient'!$C$7:$AF$7,'Données patients'!$A$99,'Traçabilité et info patient'!$C$20:$AF$20,'Données patients'!$B140,'Traçabilité et info patient'!$C$45:$AF$45,'Menus déroulants'!$K$2)</f>
        <v>0</v>
      </c>
    </row>
    <row r="141" spans="1:14" ht="15.75" thickBot="1" x14ac:dyDescent="0.3">
      <c r="A141" s="293"/>
      <c r="B141" s="184" t="s">
        <v>161</v>
      </c>
      <c r="C141" s="141">
        <f>COUNTIFS('Traçabilité et info patient'!$C$21:$AF$21,'Menus déroulants'!$J$2,'Traçabilité et info patient'!$C$7:$AF$7,'Données patients'!$A$99,'Traçabilité et info patient'!$C$20:$AF$20,'Données patients'!$B141,'Traçabilité et info patient'!$C$22:$AF$22,'Menus déroulants'!$K$4)</f>
        <v>0</v>
      </c>
      <c r="D141" s="141">
        <f>COUNTIFS('Traçabilité et info patient'!$C$21:$AF$21,'Menus déroulants'!$J$2,'Traçabilité et info patient'!$C$7:$AF$7,'Données patients'!$A$99,'Traçabilité et info patient'!$C$20:$AF$20,'Données patients'!$B141,'Traçabilité et info patient'!$C$55:$AF$55,'Menus déroulants'!$H$2)</f>
        <v>0</v>
      </c>
      <c r="E141" s="134">
        <f>COUNTIFS('Traçabilité et info patient'!$C$21:$AF$21,'Menus déroulants'!$J$2,'Traçabilité et info patient'!$C$7:$AF$7,'Données patients'!$A$99,'Traçabilité et info patient'!$C$20:$AF$20,'Données patients'!$B141,'Traçabilité et info patient'!$C$63:$AF$63,'Menus déroulants'!$H$2)</f>
        <v>0</v>
      </c>
      <c r="F141" s="141">
        <f>COUNTIFS('Traçabilité et info patient'!$C$21:$AF$21,'Menus déroulants'!$J$2,'Traçabilité et info patient'!$C$7:$AF$7,'Données patients'!$A$99,'Traçabilité et info patient'!$C$20:$AF$20,'Données patients'!$B141,'Traçabilité et info patient'!$C$47:$AF$47,'Menus déroulants'!$K$4)</f>
        <v>0</v>
      </c>
      <c r="G141" s="141">
        <f>COUNTIFS('Traçabilité et info patient'!$C$21:$AF$21,'Menus déroulants'!$J$2,'Traçabilité et info patient'!$C$7:$AF$7,'Données patients'!$A$99,'Traçabilité et info patient'!$C$20:$AF$20,'Données patients'!$B141,'Traçabilité et info patient'!$C$46:$AF$46,'Menus déroulants'!$K$4)</f>
        <v>0</v>
      </c>
      <c r="H141" s="141">
        <f>COUNTIFS('Traçabilité et info patient'!$C$21:$AF$21,'Menus déroulants'!$J$2,'Traçabilité et info patient'!$C$7:$AF$7,'Données patients'!$A$99,'Traçabilité et info patient'!$C$20:$AF$20,'Données patients'!$B141,'Traçabilité et info patient'!$C$45:$AF$45,'Menus déroulants'!$K$2)</f>
        <v>0</v>
      </c>
    </row>
    <row r="142" spans="1:14" ht="15.75" thickBot="1" x14ac:dyDescent="0.3">
      <c r="A142" s="294" t="s">
        <v>190</v>
      </c>
      <c r="B142" s="181" t="s">
        <v>157</v>
      </c>
      <c r="C142" s="138">
        <f>COUNTIFS('Traçabilité et info patient'!$C$21:$AF$21,'Menus déroulants'!$J$2,'Traçabilité et info patient'!$C$7:$AF$7,'Données patients'!$A$104,'Traçabilité et info patient'!$C$20:$AF$20,'Données patients'!$B142,'Traçabilité et info patient'!$C$22:$AF$22,'Menus déroulants'!$K$4)</f>
        <v>0</v>
      </c>
      <c r="D142" s="138">
        <f>COUNTIFS('Traçabilité et info patient'!$C$21:$AF$21,'Menus déroulants'!$J$2,'Traçabilité et info patient'!$C$7:$AF$7,'Données patients'!$A$973,'Traçabilité et info patient'!$C$20:$AF$20,'Données patients'!$B142,'Traçabilité et info patient'!$C$55:$AF$55,'Menus déroulants'!$H$2)</f>
        <v>0</v>
      </c>
      <c r="E142" s="131">
        <f>COUNTIFS('Traçabilité et info patient'!$C$21:$AF$21,'Menus déroulants'!$J$2,'Traçabilité et info patient'!$C$7:$AF$7,'Données patients'!$A$973,'Traçabilité et info patient'!$C$20:$AF$20,'Données patients'!$B142,'Traçabilité et info patient'!$C$63:$AF$63,'Menus déroulants'!$H$2)</f>
        <v>0</v>
      </c>
      <c r="F142" s="138">
        <f>COUNTIFS('Traçabilité et info patient'!$C$21:$AF$21,'Menus déroulants'!$J$2,'Traçabilité et info patient'!$C$7:$AF$7,'Données patients'!$A$104,'Traçabilité et info patient'!$C$20:$AF$20,'Données patients'!$B142,'Traçabilité et info patient'!$C$47:$AF$47,'Menus déroulants'!$K$4)</f>
        <v>0</v>
      </c>
      <c r="G142" s="138">
        <f>COUNTIFS('Traçabilité et info patient'!$C$21:$AF$21,'Menus déroulants'!$J$2,'Traçabilité et info patient'!$C$7:$AF$7,'Données patients'!$A$104,'Traçabilité et info patient'!$C$20:$AF$20,'Données patients'!$B142,'Traçabilité et info patient'!$C$46:$AF$46,'Menus déroulants'!$K$4)</f>
        <v>0</v>
      </c>
      <c r="H142" s="138">
        <f>COUNTIFS('Traçabilité et info patient'!$C$21:$AF$21,'Menus déroulants'!$J$2,'Traçabilité et info patient'!$C$7:$AF$7,'Données patients'!$A$104,'Traçabilité et info patient'!$C$20:$AF$20,'Données patients'!$B142,'Traçabilité et info patient'!$C$45:$AF$45,'Menus déroulants'!$K$2)</f>
        <v>0</v>
      </c>
    </row>
    <row r="143" spans="1:14" ht="15.75" thickBot="1" x14ac:dyDescent="0.3">
      <c r="A143" s="294"/>
      <c r="B143" s="182" t="s">
        <v>158</v>
      </c>
      <c r="C143" s="139">
        <f>COUNTIFS('Traçabilité et info patient'!$C$21:$AF$21,'Menus déroulants'!$J$2,'Traçabilité et info patient'!$C$7:$AF$7,'Données patients'!$A$104,'Traçabilité et info patient'!$C$20:$AF$20,'Données patients'!$B143,'Traçabilité et info patient'!$C$22:$AF$22,'Menus déroulants'!$K$4)</f>
        <v>0</v>
      </c>
      <c r="D143" s="139">
        <f>COUNTIFS('Traçabilité et info patient'!$C$21:$AF$21,'Menus déroulants'!$J$2,'Traçabilité et info patient'!$C$7:$AF$7,'Données patients'!$A$104,'Traçabilité et info patient'!$C$20:$AF$20,'Données patients'!$B143,'Traçabilité et info patient'!$C$55:$AF$55,'Menus déroulants'!$H$2)</f>
        <v>0</v>
      </c>
      <c r="E143" s="132">
        <f>COUNTIFS('Traçabilité et info patient'!$C$21:$AF$21,'Menus déroulants'!$J$2,'Traçabilité et info patient'!$C$7:$AF$7,'Données patients'!$A$104,'Traçabilité et info patient'!$C$20:$AF$20,'Données patients'!$B143,'Traçabilité et info patient'!$C$63:$AF$63,'Menus déroulants'!$H$2)</f>
        <v>0</v>
      </c>
      <c r="F143" s="139">
        <f>COUNTIFS('Traçabilité et info patient'!$C$21:$AF$21,'Menus déroulants'!$J$2,'Traçabilité et info patient'!$C$7:$AF$7,'Données patients'!$A$104,'Traçabilité et info patient'!$C$20:$AF$20,'Données patients'!$B143,'Traçabilité et info patient'!$C$47:$AF$47,'Menus déroulants'!$K$4)</f>
        <v>0</v>
      </c>
      <c r="G143" s="139">
        <f>COUNTIFS('Traçabilité et info patient'!$C$21:$AF$21,'Menus déroulants'!$J$2,'Traçabilité et info patient'!$C$7:$AF$7,'Données patients'!$A$104,'Traçabilité et info patient'!$C$20:$AF$20,'Données patients'!$B143,'Traçabilité et info patient'!$C$46:$AF$46,'Menus déroulants'!$K$4)</f>
        <v>0</v>
      </c>
      <c r="H143" s="139">
        <f>COUNTIFS('Traçabilité et info patient'!$C$21:$AF$21,'Menus déroulants'!$J$2,'Traçabilité et info patient'!$C$7:$AF$7,'Données patients'!$A$104,'Traçabilité et info patient'!$C$20:$AF$20,'Données patients'!$B143,'Traçabilité et info patient'!$C$45:$AF$45,'Menus déroulants'!$K$2)</f>
        <v>0</v>
      </c>
    </row>
    <row r="144" spans="1:14" ht="15.75" thickBot="1" x14ac:dyDescent="0.3">
      <c r="A144" s="294"/>
      <c r="B144" s="183" t="s">
        <v>159</v>
      </c>
      <c r="C144" s="140">
        <f>COUNTIFS('Traçabilité et info patient'!$C$21:$AF$21,'Menus déroulants'!$J$2,'Traçabilité et info patient'!$C$7:$AF$7,'Données patients'!$A$104,'Traçabilité et info patient'!$C$20:$AF$20,'Données patients'!$B144,'Traçabilité et info patient'!$C$22:$AF$22,'Menus déroulants'!$K$4)</f>
        <v>0</v>
      </c>
      <c r="D144" s="140">
        <f>COUNTIFS('Traçabilité et info patient'!$C$21:$AF$21,'Menus déroulants'!$J$2,'Traçabilité et info patient'!$C$7:$AF$7,'Données patients'!$A$104,'Traçabilité et info patient'!$C$20:$AF$20,'Données patients'!$B144,'Traçabilité et info patient'!$C$55:$AF$55,'Menus déroulants'!$H$2)</f>
        <v>0</v>
      </c>
      <c r="E144" s="136">
        <f>COUNTIFS('Traçabilité et info patient'!$C$21:$AF$21,'Menus déroulants'!$J$2,'Traçabilité et info patient'!$C$7:$AF$7,'Données patients'!$A$104,'Traçabilité et info patient'!$C$20:$AF$20,'Données patients'!$B144,'Traçabilité et info patient'!$C$63:$AF$63,'Menus déroulants'!$H$2)</f>
        <v>0</v>
      </c>
      <c r="F144" s="140">
        <f>COUNTIFS('Traçabilité et info patient'!$C$21:$AF$21,'Menus déroulants'!$J$2,'Traçabilité et info patient'!$C$7:$AF$7,'Données patients'!$A$104,'Traçabilité et info patient'!$C$20:$AF$20,'Données patients'!$B144,'Traçabilité et info patient'!$C$47:$AF$47,'Menus déroulants'!$K$4)</f>
        <v>0</v>
      </c>
      <c r="G144" s="140">
        <f>COUNTIFS('Traçabilité et info patient'!$C$21:$AF$21,'Menus déroulants'!$J$2,'Traçabilité et info patient'!$C$7:$AF$7,'Données patients'!$A$104,'Traçabilité et info patient'!$C$20:$AF$20,'Données patients'!$B144,'Traçabilité et info patient'!$C$46:$AF$46,'Menus déroulants'!$K$4)</f>
        <v>0</v>
      </c>
      <c r="H144" s="140">
        <f>COUNTIFS('Traçabilité et info patient'!$C$21:$AF$21,'Menus déroulants'!$J$2,'Traçabilité et info patient'!$C$7:$AF$7,'Données patients'!$A$104,'Traçabilité et info patient'!$C$20:$AF$20,'Données patients'!$B144,'Traçabilité et info patient'!$C$45:$AF$45,'Menus déroulants'!$K$2)</f>
        <v>0</v>
      </c>
    </row>
    <row r="145" spans="1:14" ht="15.75" thickBot="1" x14ac:dyDescent="0.3">
      <c r="A145" s="294"/>
      <c r="B145" s="182" t="s">
        <v>160</v>
      </c>
      <c r="C145" s="139">
        <f>COUNTIFS('Traçabilité et info patient'!$C$21:$AF$21,'Menus déroulants'!$J$2,'Traçabilité et info patient'!$C$7:$AF$7,'Données patients'!$A$104,'Traçabilité et info patient'!$C$20:$AF$20,'Données patients'!$B145,'Traçabilité et info patient'!$C$22:$AF$22,'Menus déroulants'!$K$4)</f>
        <v>0</v>
      </c>
      <c r="D145" s="139">
        <f>COUNTIFS('Traçabilité et info patient'!$C$21:$AF$21,'Menus déroulants'!$J$2,'Traçabilité et info patient'!$C$7:$AF$7,'Données patients'!$A$104,'Traçabilité et info patient'!$C$20:$AF$20,'Données patients'!$B145,'Traçabilité et info patient'!$C$55:$AF$55,'Menus déroulants'!$H$2)</f>
        <v>0</v>
      </c>
      <c r="E145" s="132">
        <f>COUNTIFS('Traçabilité et info patient'!$C$21:$AF$21,'Menus déroulants'!$J$2,'Traçabilité et info patient'!$C$7:$AF$7,'Données patients'!$A$104,'Traçabilité et info patient'!$C$20:$AF$20,'Données patients'!$B145,'Traçabilité et info patient'!$C$63:$AF$63,'Menus déroulants'!$H$2)</f>
        <v>0</v>
      </c>
      <c r="F145" s="139">
        <f>COUNTIFS('Traçabilité et info patient'!$C$21:$AF$21,'Menus déroulants'!$J$2,'Traçabilité et info patient'!$C$7:$AF$7,'Données patients'!$A$104,'Traçabilité et info patient'!$C$20:$AF$20,'Données patients'!$B145,'Traçabilité et info patient'!$C$47:$AF$47,'Menus déroulants'!$K$4)</f>
        <v>0</v>
      </c>
      <c r="G145" s="139">
        <f>COUNTIFS('Traçabilité et info patient'!$C$21:$AF$21,'Menus déroulants'!$J$2,'Traçabilité et info patient'!$C$7:$AF$7,'Données patients'!$A$104,'Traçabilité et info patient'!$C$20:$AF$20,'Données patients'!$B145,'Traçabilité et info patient'!$C$46:$AF$46,'Menus déroulants'!$K$4)</f>
        <v>0</v>
      </c>
      <c r="H145" s="139">
        <f>COUNTIFS('Traçabilité et info patient'!$C$21:$AF$21,'Menus déroulants'!$J$2,'Traçabilité et info patient'!$C$7:$AF$7,'Données patients'!$A$104,'Traçabilité et info patient'!$C$20:$AF$20,'Données patients'!$B145,'Traçabilité et info patient'!$C$45:$AF$45,'Menus déroulants'!$K$2)</f>
        <v>0</v>
      </c>
    </row>
    <row r="146" spans="1:14" ht="15.75" thickBot="1" x14ac:dyDescent="0.3">
      <c r="A146" s="294"/>
      <c r="B146" s="184" t="s">
        <v>161</v>
      </c>
      <c r="C146" s="141">
        <f>COUNTIFS('Traçabilité et info patient'!$C$21:$AF$21,'Menus déroulants'!$J$2,'Traçabilité et info patient'!$C$7:$AF$7,'Données patients'!$A$104,'Traçabilité et info patient'!$C$20:$AF$20,'Données patients'!$B146,'Traçabilité et info patient'!$C$22:$AF$22,'Menus déroulants'!$K$4)</f>
        <v>0</v>
      </c>
      <c r="D146" s="141">
        <f>COUNTIFS('Traçabilité et info patient'!$C$21:$AF$21,'Menus déroulants'!$J$2,'Traçabilité et info patient'!$C$7:$AF$7,'Données patients'!$A$104,'Traçabilité et info patient'!$C$20:$AF$20,'Données patients'!$B146,'Traçabilité et info patient'!$C$55:$AF$55,'Menus déroulants'!$H$2)</f>
        <v>0</v>
      </c>
      <c r="E146" s="134">
        <f>COUNTIFS('Traçabilité et info patient'!$C$21:$AF$21,'Menus déroulants'!$J$2,'Traçabilité et info patient'!$C$7:$AF$7,'Données patients'!$A$104,'Traçabilité et info patient'!$C$20:$AF$20,'Données patients'!$B146,'Traçabilité et info patient'!$C$63:$AF$63,'Menus déroulants'!$H$2)</f>
        <v>0</v>
      </c>
      <c r="F146" s="141">
        <f>COUNTIFS('Traçabilité et info patient'!$C$21:$AF$21,'Menus déroulants'!$J$2,'Traçabilité et info patient'!$C$7:$AF$7,'Données patients'!$A$99,'Traçabilité et info patient'!$C$20:$AF$20,'Données patients'!$B146,'Traçabilité et info patient'!$C$47:$AF$47,'Menus déroulants'!$K$4)</f>
        <v>0</v>
      </c>
      <c r="G146" s="141">
        <f>COUNTIFS('Traçabilité et info patient'!$C$21:$AF$21,'Menus déroulants'!$J$2,'Traçabilité et info patient'!$C$7:$AF$7,'Données patients'!$A$99,'Traçabilité et info patient'!$C$20:$AF$20,'Données patients'!$B146,'Traçabilité et info patient'!$C$46:$AF$46,'Menus déroulants'!$K$4)</f>
        <v>0</v>
      </c>
      <c r="H146" s="141">
        <f>COUNTIFS('Traçabilité et info patient'!$C$21:$AF$21,'Menus déroulants'!$J$2,'Traçabilité et info patient'!$C$7:$AF$7,'Données patients'!$A$99,'Traçabilité et info patient'!$C$20:$AF$20,'Données patients'!$B146,'Traçabilité et info patient'!$C$45:$AF$45,'Menus déroulants'!$K$2)</f>
        <v>0</v>
      </c>
    </row>
    <row r="147" spans="1:14" x14ac:dyDescent="0.25">
      <c r="B147" s="160" t="s">
        <v>61</v>
      </c>
      <c r="C147" s="142">
        <f t="shared" ref="C147:H147" si="17">SUM(C112:C146)</f>
        <v>1</v>
      </c>
      <c r="D147" s="142">
        <f t="shared" si="17"/>
        <v>1</v>
      </c>
      <c r="E147" s="142">
        <f t="shared" si="17"/>
        <v>1</v>
      </c>
      <c r="F147" s="142">
        <f t="shared" si="17"/>
        <v>1</v>
      </c>
      <c r="G147" s="142">
        <f t="shared" si="17"/>
        <v>0</v>
      </c>
      <c r="H147" s="142">
        <f t="shared" si="17"/>
        <v>1</v>
      </c>
      <c r="I147"/>
      <c r="J147"/>
      <c r="K147"/>
      <c r="L147"/>
      <c r="M147"/>
      <c r="N147"/>
    </row>
    <row r="148" spans="1:14" x14ac:dyDescent="0.25">
      <c r="C148" s="142"/>
      <c r="D148" s="142"/>
      <c r="E148" s="142"/>
      <c r="F148" s="142"/>
      <c r="G148" s="142"/>
      <c r="H148" s="142"/>
      <c r="I148"/>
      <c r="J148"/>
      <c r="K148"/>
      <c r="L148"/>
      <c r="M148"/>
      <c r="N148"/>
    </row>
    <row r="149" spans="1:14" ht="18.75" customHeight="1" x14ac:dyDescent="0.25">
      <c r="A149" s="404" t="s">
        <v>326</v>
      </c>
      <c r="B149" s="404"/>
      <c r="C149" s="404"/>
      <c r="D149" s="404"/>
      <c r="E149" s="404"/>
      <c r="F149" s="404"/>
      <c r="G149" s="404"/>
      <c r="H149" s="404"/>
      <c r="I149"/>
      <c r="J149"/>
      <c r="K149"/>
      <c r="L149"/>
      <c r="M149"/>
      <c r="N149"/>
    </row>
    <row r="150" spans="1:14" ht="15.75" x14ac:dyDescent="0.25">
      <c r="I150" s="282" t="s">
        <v>268</v>
      </c>
      <c r="J150" s="282"/>
      <c r="K150" s="282"/>
      <c r="L150" s="282"/>
      <c r="M150" s="282"/>
      <c r="N150" s="282"/>
    </row>
    <row r="151" spans="1:14" ht="15.75" x14ac:dyDescent="0.25">
      <c r="A151" s="282" t="s">
        <v>250</v>
      </c>
      <c r="B151" s="282"/>
      <c r="C151" s="282"/>
      <c r="D151" s="282"/>
      <c r="E151" s="282"/>
      <c r="F151" s="282"/>
      <c r="G151" s="282"/>
      <c r="H151" s="282"/>
    </row>
    <row r="152" spans="1:14" ht="15.75" thickBot="1" x14ac:dyDescent="0.3"/>
    <row r="153" spans="1:14" x14ac:dyDescent="0.25">
      <c r="A153" s="266" t="s">
        <v>115</v>
      </c>
      <c r="B153" s="287"/>
      <c r="C153" s="289" t="s">
        <v>60</v>
      </c>
      <c r="D153" s="290"/>
      <c r="E153" s="291"/>
      <c r="F153" s="289" t="s">
        <v>225</v>
      </c>
      <c r="G153" s="290"/>
      <c r="H153" s="291"/>
    </row>
    <row r="154" spans="1:14" ht="15.75" thickBot="1" x14ac:dyDescent="0.3">
      <c r="A154" s="268"/>
      <c r="B154" s="288"/>
      <c r="C154" s="79" t="s">
        <v>152</v>
      </c>
      <c r="D154" s="106" t="s">
        <v>153</v>
      </c>
      <c r="E154" s="105" t="s">
        <v>226</v>
      </c>
      <c r="F154" s="79" t="s">
        <v>152</v>
      </c>
      <c r="G154" s="106" t="s">
        <v>153</v>
      </c>
      <c r="H154" s="105" t="s">
        <v>226</v>
      </c>
    </row>
    <row r="155" spans="1:14" ht="15" customHeight="1" x14ac:dyDescent="0.25">
      <c r="A155" s="289" t="s">
        <v>250</v>
      </c>
      <c r="B155" s="185" t="s">
        <v>229</v>
      </c>
      <c r="C155" s="89">
        <f>COUNTIFS('Traçabilité et info patient'!$C$6:$AF$6,'Données patients'!$C$154,'Traçabilité et info patient'!$C$17:$AF$17,'Données patients'!$B155)</f>
        <v>2</v>
      </c>
      <c r="D155" s="90">
        <f>COUNTIFS('Traçabilité et info patient'!$C$6:$AF$6,'Données patients'!$D$154,'Traçabilité et info patient'!$C$17:$AF$17,'Données patients'!$B155)</f>
        <v>2</v>
      </c>
      <c r="E155" s="88">
        <f>SUM(C155:D155)</f>
        <v>4</v>
      </c>
      <c r="F155" s="186">
        <f>C155/$E$64</f>
        <v>0.08</v>
      </c>
      <c r="G155" s="92">
        <f>D155/$E$64</f>
        <v>0.08</v>
      </c>
      <c r="H155" s="93">
        <f>E155/$E$64</f>
        <v>0.16</v>
      </c>
    </row>
    <row r="156" spans="1:14" x14ac:dyDescent="0.25">
      <c r="A156" s="301"/>
      <c r="B156" s="145" t="s">
        <v>230</v>
      </c>
      <c r="C156" s="78">
        <f>COUNTIFS('Traçabilité et info patient'!$C$6:$AF$6,'Données patients'!$C$154,'Traçabilité et info patient'!$C$17:$AF$17,'Données patients'!$B156)</f>
        <v>0</v>
      </c>
      <c r="D156" s="95">
        <f>COUNTIFS('Traçabilité et info patient'!$C$6:$AF$6,'Données patients'!$D$154,'Traçabilité et info patient'!$C$17:$AF$17,'Données patients'!$B156)</f>
        <v>0</v>
      </c>
      <c r="E156" s="94">
        <f t="shared" ref="E156:E161" si="18">SUM(C156:D156)</f>
        <v>0</v>
      </c>
      <c r="F156" s="187">
        <f t="shared" ref="F156:F161" si="19">C156/$E$64</f>
        <v>0</v>
      </c>
      <c r="G156" s="97">
        <f t="shared" ref="G156:G161" si="20">D156/$E$64</f>
        <v>0</v>
      </c>
      <c r="H156" s="98">
        <f t="shared" ref="H156:H161" si="21">E156/$E$64</f>
        <v>0</v>
      </c>
    </row>
    <row r="157" spans="1:14" ht="24" x14ac:dyDescent="0.25">
      <c r="A157" s="301"/>
      <c r="B157" s="143" t="s">
        <v>245</v>
      </c>
      <c r="C157" s="100">
        <f>COUNTIFS('Traçabilité et info patient'!$C$6:$AF$6,'Données patients'!$C$154,'Traçabilité et info patient'!$C$17:$AF$17,'Données patients'!$B157)</f>
        <v>0</v>
      </c>
      <c r="D157" s="101">
        <f>COUNTIFS('Traçabilité et info patient'!$C$6:$AF$6,'Données patients'!$D$154,'Traçabilité et info patient'!$C$17:$AF$17,'Données patients'!$B157)</f>
        <v>2</v>
      </c>
      <c r="E157" s="99">
        <f t="shared" si="18"/>
        <v>2</v>
      </c>
      <c r="F157" s="188">
        <f t="shared" si="19"/>
        <v>0</v>
      </c>
      <c r="G157" s="103">
        <f t="shared" si="20"/>
        <v>0.08</v>
      </c>
      <c r="H157" s="104">
        <f t="shared" si="21"/>
        <v>0.08</v>
      </c>
    </row>
    <row r="158" spans="1:14" x14ac:dyDescent="0.25">
      <c r="A158" s="301"/>
      <c r="B158" s="145" t="s">
        <v>143</v>
      </c>
      <c r="C158" s="78">
        <f>COUNTIFS('Traçabilité et info patient'!$C$6:$AF$6,'Données patients'!$C$154,'Traçabilité et info patient'!$C$17:$AF$17,'Données patients'!$B158)</f>
        <v>0</v>
      </c>
      <c r="D158" s="95">
        <f>COUNTIFS('Traçabilité et info patient'!$C$6:$AF$6,'Données patients'!$D$154,'Traçabilité et info patient'!$C$17:$AF$17,'Données patients'!$B158)</f>
        <v>0</v>
      </c>
      <c r="E158" s="94">
        <f t="shared" si="18"/>
        <v>0</v>
      </c>
      <c r="F158" s="187">
        <f t="shared" si="19"/>
        <v>0</v>
      </c>
      <c r="G158" s="97">
        <f t="shared" si="20"/>
        <v>0</v>
      </c>
      <c r="H158" s="98">
        <f t="shared" si="21"/>
        <v>0</v>
      </c>
    </row>
    <row r="159" spans="1:14" x14ac:dyDescent="0.25">
      <c r="A159" s="301"/>
      <c r="B159" s="143" t="s">
        <v>146</v>
      </c>
      <c r="C159" s="100">
        <f>COUNTIFS('Traçabilité et info patient'!$C$6:$AF$6,'Données patients'!$C$154,'Traçabilité et info patient'!$C$17:$AF$17,'Données patients'!$B159)</f>
        <v>1</v>
      </c>
      <c r="D159" s="101">
        <f>COUNTIFS('Traçabilité et info patient'!$C$6:$AF$6,'Données patients'!$D$154,'Traçabilité et info patient'!$C$17:$AF$17,'Données patients'!$B159)</f>
        <v>0</v>
      </c>
      <c r="E159" s="99">
        <f t="shared" si="18"/>
        <v>1</v>
      </c>
      <c r="F159" s="188">
        <f t="shared" si="19"/>
        <v>0.04</v>
      </c>
      <c r="G159" s="103">
        <f t="shared" si="20"/>
        <v>0</v>
      </c>
      <c r="H159" s="104">
        <f t="shared" si="21"/>
        <v>0.04</v>
      </c>
    </row>
    <row r="160" spans="1:14" ht="24" x14ac:dyDescent="0.25">
      <c r="A160" s="301"/>
      <c r="B160" s="145" t="s">
        <v>251</v>
      </c>
      <c r="C160" s="78">
        <f>COUNTIFS('Traçabilité et info patient'!$C$6:$AF$6,'Données patients'!$C$154,'Traçabilité et info patient'!$C$17:$AF$17,'Données patients'!$B160)</f>
        <v>0</v>
      </c>
      <c r="D160" s="95">
        <f>COUNTIFS('Traçabilité et info patient'!$C$6:$AF$6,'Données patients'!$D$154,'Traçabilité et info patient'!$C$17:$AF$17,'Données patients'!$B160)</f>
        <v>0</v>
      </c>
      <c r="E160" s="94">
        <f t="shared" si="18"/>
        <v>0</v>
      </c>
      <c r="F160" s="187">
        <f t="shared" si="19"/>
        <v>0</v>
      </c>
      <c r="G160" s="97">
        <f t="shared" si="20"/>
        <v>0</v>
      </c>
      <c r="H160" s="98">
        <f t="shared" si="21"/>
        <v>0</v>
      </c>
    </row>
    <row r="161" spans="1:14" ht="15.75" thickBot="1" x14ac:dyDescent="0.3">
      <c r="A161" s="302"/>
      <c r="B161" s="144" t="s">
        <v>145</v>
      </c>
      <c r="C161" s="125">
        <f>COUNTIFS('Traçabilité et info patient'!$C$6:$AF$6,'Données patients'!$C$154,'Traçabilité et info patient'!$C$17:$AF$17,'Données patients'!$B161)</f>
        <v>0</v>
      </c>
      <c r="D161" s="120">
        <f>COUNTIFS('Traçabilité et info patient'!$C$6:$AF$6,'Données patients'!$D$154,'Traçabilité et info patient'!$C$17:$AF$17,'Données patients'!$B161)</f>
        <v>1</v>
      </c>
      <c r="E161" s="126">
        <f t="shared" si="18"/>
        <v>1</v>
      </c>
      <c r="F161" s="189">
        <f t="shared" si="19"/>
        <v>0</v>
      </c>
      <c r="G161" s="121">
        <f t="shared" si="20"/>
        <v>0.04</v>
      </c>
      <c r="H161" s="122">
        <f t="shared" si="21"/>
        <v>0.04</v>
      </c>
    </row>
    <row r="162" spans="1:14" customFormat="1" x14ac:dyDescent="0.25">
      <c r="A162" s="198"/>
      <c r="B162" s="3"/>
      <c r="C162" s="3"/>
      <c r="D162" s="3"/>
      <c r="E162" s="3"/>
      <c r="F162" s="3"/>
      <c r="G162" s="3"/>
      <c r="H162" s="3"/>
      <c r="I162" s="74"/>
      <c r="J162" s="74"/>
      <c r="K162" s="74"/>
      <c r="L162" s="74"/>
      <c r="M162" s="74"/>
      <c r="N162" s="74"/>
    </row>
    <row r="163" spans="1:14" customFormat="1" ht="16.5" thickBot="1" x14ac:dyDescent="0.3">
      <c r="A163" s="282" t="s">
        <v>268</v>
      </c>
      <c r="B163" s="282"/>
      <c r="C163" s="282"/>
      <c r="D163" s="282"/>
      <c r="E163" s="282"/>
      <c r="F163" s="282"/>
      <c r="G163" s="282"/>
      <c r="H163" s="282"/>
      <c r="I163" s="282" t="s">
        <v>322</v>
      </c>
      <c r="J163" s="282"/>
      <c r="K163" s="282"/>
      <c r="L163" s="282"/>
      <c r="M163" s="282"/>
      <c r="N163" s="282"/>
    </row>
    <row r="164" spans="1:14" customFormat="1" ht="15.75" thickBot="1" x14ac:dyDescent="0.3">
      <c r="A164" s="320" t="s">
        <v>115</v>
      </c>
      <c r="B164" s="304"/>
      <c r="C164" s="207" t="s">
        <v>101</v>
      </c>
      <c r="D164" s="208" t="s">
        <v>167</v>
      </c>
      <c r="E164" s="214" t="s">
        <v>228</v>
      </c>
      <c r="F164" s="215" t="s">
        <v>104</v>
      </c>
      <c r="G164" s="76"/>
      <c r="H164" s="76"/>
      <c r="I164" s="74"/>
      <c r="J164" s="74"/>
      <c r="K164" s="74"/>
      <c r="L164" s="74"/>
      <c r="M164" s="74"/>
      <c r="N164" s="74"/>
    </row>
    <row r="165" spans="1:14" customFormat="1" ht="23.25" customHeight="1" x14ac:dyDescent="0.25">
      <c r="A165" s="321" t="s">
        <v>303</v>
      </c>
      <c r="B165" s="206" t="s">
        <v>281</v>
      </c>
      <c r="C165" s="138">
        <f>COUNTIF('Traçabilité et info patient'!$C25:$AF$25,C$164)</f>
        <v>8</v>
      </c>
      <c r="D165" s="138">
        <f>COUNTIF('Traçabilité et info patient'!$C25:$AF$25,D$164)</f>
        <v>8</v>
      </c>
      <c r="E165" s="138">
        <f>COUNTIF('Traçabilité et info patient'!$C25:$AF$25,E$164)</f>
        <v>7</v>
      </c>
      <c r="F165" s="209">
        <f>COUNTIF('Traçabilité et info patient'!$C25:$AF$25,F$164)</f>
        <v>7</v>
      </c>
      <c r="G165" s="76"/>
      <c r="H165" s="76"/>
      <c r="I165" s="74"/>
      <c r="J165" s="74"/>
      <c r="K165" s="74"/>
      <c r="L165" s="74"/>
      <c r="M165" s="74"/>
      <c r="N165" s="74"/>
    </row>
    <row r="166" spans="1:14" ht="24.75" customHeight="1" x14ac:dyDescent="0.25">
      <c r="A166" s="322"/>
      <c r="B166" s="193" t="s">
        <v>270</v>
      </c>
      <c r="C166" s="139">
        <f>COUNTIF('Traçabilité et info patient'!$C26:$AF26,C$164)</f>
        <v>7</v>
      </c>
      <c r="D166" s="139">
        <f>COUNTIF('Traçabilité et info patient'!$C$26:$AF26,D$164)</f>
        <v>8</v>
      </c>
      <c r="E166" s="139">
        <f>COUNTIF('Traçabilité et info patient'!$C$26:$AF26,E$164)</f>
        <v>8</v>
      </c>
      <c r="F166" s="210">
        <f>COUNTIF('Traçabilité et info patient'!$C$26:$AF26,F$164)</f>
        <v>7</v>
      </c>
    </row>
    <row r="167" spans="1:14" ht="22.5" x14ac:dyDescent="0.25">
      <c r="A167" s="322"/>
      <c r="B167" s="194" t="s">
        <v>272</v>
      </c>
      <c r="C167" s="140">
        <f>COUNTIF('Traçabilité et info patient'!$C27:$AF27,C$164)</f>
        <v>7</v>
      </c>
      <c r="D167" s="140">
        <f>COUNTIF('Traçabilité et info patient'!$C$27:$AF27,D$164)</f>
        <v>8</v>
      </c>
      <c r="E167" s="140">
        <f>COUNTIF('Traçabilité et info patient'!$C$27:$AF27,E$164)</f>
        <v>8</v>
      </c>
      <c r="F167" s="211">
        <f>COUNTIF('Traçabilité et info patient'!$C$27:$AF27,F$164)</f>
        <v>7</v>
      </c>
    </row>
    <row r="168" spans="1:14" x14ac:dyDescent="0.25">
      <c r="A168" s="322"/>
      <c r="B168" s="193" t="s">
        <v>283</v>
      </c>
      <c r="C168" s="139">
        <f>COUNTIF('Traçabilité et info patient'!$C28:$AF28,C$164)</f>
        <v>7</v>
      </c>
      <c r="D168" s="139">
        <f>COUNTIF('Traçabilité et info patient'!$C$28:$AF28,D$164)</f>
        <v>8</v>
      </c>
      <c r="E168" s="139">
        <f>COUNTIF('Traçabilité et info patient'!$C$28:$AF28,E$164)</f>
        <v>7</v>
      </c>
      <c r="F168" s="210">
        <f>COUNTIF('Traçabilité et info patient'!$C$28:$AF28,F$164)</f>
        <v>8</v>
      </c>
    </row>
    <row r="169" spans="1:14" ht="24" customHeight="1" thickBot="1" x14ac:dyDescent="0.3">
      <c r="A169" s="323"/>
      <c r="B169" s="195" t="s">
        <v>284</v>
      </c>
      <c r="C169" s="141">
        <f>COUNTIF('Traçabilité et info patient'!$C29:$AF29,C$164)</f>
        <v>8</v>
      </c>
      <c r="D169" s="141">
        <f>COUNTIF('Traçabilité et info patient'!$C$29:$AF29,D$164)</f>
        <v>8</v>
      </c>
      <c r="E169" s="141">
        <f>COUNTIF('Traçabilité et info patient'!$C$29:$AF29,E$164)</f>
        <v>7</v>
      </c>
      <c r="F169" s="212">
        <f>COUNTIF('Traçabilité et info patient'!$C$29:$AF29,F$164)</f>
        <v>7</v>
      </c>
    </row>
    <row r="170" spans="1:14" ht="22.5" x14ac:dyDescent="0.25">
      <c r="A170" s="273" t="s">
        <v>304</v>
      </c>
      <c r="B170" s="205" t="s">
        <v>285</v>
      </c>
      <c r="C170" s="199">
        <f>COUNTIF('Traçabilité et info patient'!$C31:$AF31,C$164)</f>
        <v>8</v>
      </c>
      <c r="D170" s="200">
        <f>COUNTIF('Traçabilité et info patient'!$C31:$AF31,D$164)</f>
        <v>8</v>
      </c>
      <c r="E170" s="200">
        <f>COUNTIF('Traçabilité et info patient'!$C31:$AF31,E$164)</f>
        <v>7</v>
      </c>
      <c r="F170" s="213">
        <f>COUNTIF('Traçabilité et info patient'!$C31:$AF31,F$164)</f>
        <v>7</v>
      </c>
    </row>
    <row r="171" spans="1:14" ht="22.5" x14ac:dyDescent="0.25">
      <c r="A171" s="274"/>
      <c r="B171" s="194" t="s">
        <v>286</v>
      </c>
      <c r="C171" s="201">
        <f>COUNTIF('Traçabilité et info patient'!$C32:$AF32,C$164)</f>
        <v>8</v>
      </c>
      <c r="D171" s="136">
        <f>COUNTIF('Traçabilité et info patient'!$C32:$AF32,D$164)</f>
        <v>8</v>
      </c>
      <c r="E171" s="136">
        <f>COUNTIF('Traçabilité et info patient'!$C32:$AF32,E$164)</f>
        <v>7</v>
      </c>
      <c r="F171" s="137">
        <f>COUNTIF('Traçabilité et info patient'!$C32:$AF32,F$164)</f>
        <v>7</v>
      </c>
    </row>
    <row r="172" spans="1:14" ht="22.5" x14ac:dyDescent="0.25">
      <c r="A172" s="274"/>
      <c r="B172" s="204" t="s">
        <v>287</v>
      </c>
      <c r="C172" s="202">
        <f>COUNTIF('Traçabilité et info patient'!$C33:$AF33,C$164)</f>
        <v>8</v>
      </c>
      <c r="D172" s="132">
        <f>COUNTIF('Traçabilité et info patient'!$C33:$AF33,D$164)</f>
        <v>8</v>
      </c>
      <c r="E172" s="132">
        <f>COUNTIF('Traçabilité et info patient'!$C33:$AF33,E$164)</f>
        <v>7</v>
      </c>
      <c r="F172" s="133">
        <f>COUNTIF('Traçabilité et info patient'!$C33:$AF33,F$164)</f>
        <v>7</v>
      </c>
    </row>
    <row r="173" spans="1:14" x14ac:dyDescent="0.25">
      <c r="A173" s="274"/>
      <c r="B173" s="194" t="s">
        <v>288</v>
      </c>
      <c r="C173" s="201">
        <f>COUNTIF('Traçabilité et info patient'!$C34:$AF34,C$164)</f>
        <v>8</v>
      </c>
      <c r="D173" s="136">
        <f>COUNTIF('Traçabilité et info patient'!$C34:$AF34,D$164)</f>
        <v>8</v>
      </c>
      <c r="E173" s="136">
        <f>COUNTIF('Traçabilité et info patient'!$C34:$AF34,E$164)</f>
        <v>7</v>
      </c>
      <c r="F173" s="137">
        <f>COUNTIF('Traçabilité et info patient'!$C34:$AF34,F$164)</f>
        <v>7</v>
      </c>
    </row>
    <row r="174" spans="1:14" ht="22.5" customHeight="1" x14ac:dyDescent="0.25">
      <c r="A174" s="274"/>
      <c r="B174" s="204" t="s">
        <v>289</v>
      </c>
      <c r="C174" s="202">
        <f>COUNTIF('Traçabilité et info patient'!$C35:$AF35,C$164)</f>
        <v>8</v>
      </c>
      <c r="D174" s="132">
        <f>COUNTIF('Traçabilité et info patient'!$C35:$AF35,D$164)</f>
        <v>8</v>
      </c>
      <c r="E174" s="132">
        <f>COUNTIF('Traçabilité et info patient'!$C35:$AF35,E$164)</f>
        <v>7</v>
      </c>
      <c r="F174" s="133">
        <f>COUNTIF('Traçabilité et info patient'!$C35:$AF35,F$164)</f>
        <v>7</v>
      </c>
    </row>
    <row r="175" spans="1:14" ht="23.25" thickBot="1" x14ac:dyDescent="0.3">
      <c r="A175" s="275"/>
      <c r="B175" s="195" t="s">
        <v>290</v>
      </c>
      <c r="C175" s="203">
        <f>COUNTIF('Traçabilité et info patient'!$C36:$AF36,C$164)</f>
        <v>8</v>
      </c>
      <c r="D175" s="134">
        <f>COUNTIF('Traçabilité et info patient'!$C36:$AF36,D$164)</f>
        <v>8</v>
      </c>
      <c r="E175" s="134">
        <f>COUNTIF('Traçabilité et info patient'!$C36:$AF36,E$164)</f>
        <v>7</v>
      </c>
      <c r="F175" s="135">
        <f>COUNTIF('Traçabilité et info patient'!$C36:$AF36,F$164)</f>
        <v>7</v>
      </c>
    </row>
    <row r="177" spans="1:14" ht="16.5" thickBot="1" x14ac:dyDescent="0.3">
      <c r="A177" s="282" t="s">
        <v>322</v>
      </c>
      <c r="B177" s="282"/>
      <c r="C177" s="282"/>
      <c r="D177" s="282"/>
      <c r="E177" s="282"/>
      <c r="F177" s="282"/>
      <c r="G177" s="282"/>
      <c r="H177" s="282"/>
      <c r="I177" s="282" t="s">
        <v>305</v>
      </c>
      <c r="J177" s="282"/>
      <c r="K177" s="282"/>
      <c r="L177" s="282"/>
      <c r="M177" s="282"/>
      <c r="N177" s="282"/>
    </row>
    <row r="178" spans="1:14" x14ac:dyDescent="0.25">
      <c r="A178" s="266" t="s">
        <v>115</v>
      </c>
      <c r="B178" s="287"/>
      <c r="C178" s="289" t="s">
        <v>60</v>
      </c>
      <c r="D178" s="290"/>
      <c r="E178" s="291"/>
      <c r="F178" s="289" t="s">
        <v>225</v>
      </c>
      <c r="G178" s="290"/>
      <c r="H178" s="291"/>
    </row>
    <row r="179" spans="1:14" customFormat="1" ht="15.75" thickBot="1" x14ac:dyDescent="0.3">
      <c r="A179" s="268"/>
      <c r="B179" s="288"/>
      <c r="C179" s="79" t="s">
        <v>300</v>
      </c>
      <c r="D179" s="106" t="s">
        <v>301</v>
      </c>
      <c r="E179" s="105" t="s">
        <v>302</v>
      </c>
      <c r="F179" s="79" t="s">
        <v>300</v>
      </c>
      <c r="G179" s="106" t="s">
        <v>301</v>
      </c>
      <c r="H179" s="105" t="s">
        <v>302</v>
      </c>
      <c r="I179" s="74"/>
      <c r="J179" s="74"/>
      <c r="K179" s="74"/>
      <c r="L179" s="74"/>
      <c r="M179" s="74"/>
      <c r="N179" s="74"/>
    </row>
    <row r="180" spans="1:14" s="413" customFormat="1" ht="34.5" customHeight="1" x14ac:dyDescent="0.25">
      <c r="A180" s="276" t="s">
        <v>263</v>
      </c>
      <c r="B180" s="414" t="s">
        <v>256</v>
      </c>
      <c r="C180" s="415">
        <f>COUNTIF('Traçabilité et info patient'!$C$38:$AF$38,'Menus déroulants'!$H$2)</f>
        <v>14</v>
      </c>
      <c r="D180" s="416">
        <f>COUNTIF('Traçabilité et info patient'!$C$38:$AF$38,'Menus déroulants'!$H$3)</f>
        <v>16</v>
      </c>
      <c r="E180" s="417">
        <f>SUM(C180:D180)</f>
        <v>30</v>
      </c>
      <c r="F180" s="418">
        <f t="shared" ref="F180:G186" si="22">C180/$E$11</f>
        <v>0.46666666666666667</v>
      </c>
      <c r="G180" s="419">
        <f t="shared" si="22"/>
        <v>0.53333333333333333</v>
      </c>
      <c r="H180" s="420">
        <f>SUM(F180:G180)</f>
        <v>1</v>
      </c>
    </row>
    <row r="181" spans="1:14" ht="33.75" x14ac:dyDescent="0.25">
      <c r="A181" s="277"/>
      <c r="B181" s="193" t="s">
        <v>260</v>
      </c>
      <c r="C181" s="78">
        <f>COUNTIF('Traçabilité et info patient'!$C$39:$AF$39,'Menus déroulants'!$H$2)</f>
        <v>15</v>
      </c>
      <c r="D181" s="95">
        <f>COUNTIF('Traçabilité et info patient'!$C$39:$AF$39,'Menus déroulants'!$H$3)</f>
        <v>15</v>
      </c>
      <c r="E181" s="94">
        <f t="shared" ref="E181:E186" si="23">SUM(C181:D181)</f>
        <v>30</v>
      </c>
      <c r="F181" s="96">
        <f t="shared" si="22"/>
        <v>0.5</v>
      </c>
      <c r="G181" s="97">
        <f t="shared" si="22"/>
        <v>0.5</v>
      </c>
      <c r="H181" s="98">
        <f t="shared" ref="H181:H186" si="24">SUM(F181:G181)</f>
        <v>1</v>
      </c>
    </row>
    <row r="182" spans="1:14" ht="35.25" customHeight="1" x14ac:dyDescent="0.25">
      <c r="A182" s="277"/>
      <c r="B182" s="194" t="s">
        <v>259</v>
      </c>
      <c r="C182" s="100">
        <f>COUNTIF('Traçabilité et info patient'!$C$40:$AF$40,'Menus déroulants'!$H$2)</f>
        <v>15</v>
      </c>
      <c r="D182" s="101">
        <f>COUNTIF('Traçabilité et info patient'!$C$40:$AF$40,'Menus déroulants'!$H$3)</f>
        <v>15</v>
      </c>
      <c r="E182" s="99">
        <f t="shared" si="23"/>
        <v>30</v>
      </c>
      <c r="F182" s="102">
        <f t="shared" si="22"/>
        <v>0.5</v>
      </c>
      <c r="G182" s="103">
        <f t="shared" si="22"/>
        <v>0.5</v>
      </c>
      <c r="H182" s="104">
        <f t="shared" si="24"/>
        <v>1</v>
      </c>
    </row>
    <row r="183" spans="1:14" customFormat="1" ht="22.5" x14ac:dyDescent="0.25">
      <c r="A183" s="277"/>
      <c r="B183" s="193" t="s">
        <v>258</v>
      </c>
      <c r="C183" s="78">
        <f>COUNTIF('Traçabilité et info patient'!$C$41:$AF$41,'Menus déroulants'!$H$2)</f>
        <v>15</v>
      </c>
      <c r="D183" s="95">
        <f>COUNTIF('Traçabilité et info patient'!$C$41:$AF$41,'Menus déroulants'!$H$3)</f>
        <v>15</v>
      </c>
      <c r="E183" s="94">
        <f t="shared" si="23"/>
        <v>30</v>
      </c>
      <c r="F183" s="96">
        <f t="shared" si="22"/>
        <v>0.5</v>
      </c>
      <c r="G183" s="97">
        <f t="shared" si="22"/>
        <v>0.5</v>
      </c>
      <c r="H183" s="98">
        <f t="shared" si="24"/>
        <v>1</v>
      </c>
      <c r="I183" s="74"/>
      <c r="J183" s="74"/>
      <c r="K183" s="74"/>
      <c r="L183" s="74"/>
      <c r="M183" s="74"/>
      <c r="N183" s="74"/>
    </row>
    <row r="184" spans="1:14" x14ac:dyDescent="0.25">
      <c r="A184" s="277"/>
      <c r="B184" s="194" t="s">
        <v>257</v>
      </c>
      <c r="C184" s="100">
        <f>COUNTIF('Traçabilité et info patient'!$C$42:$AF$42,'Menus déroulants'!$H$2)</f>
        <v>15</v>
      </c>
      <c r="D184" s="101">
        <f>COUNTIF('Traçabilité et info patient'!$C$42:$AF$42,'Menus déroulants'!$H$3)</f>
        <v>15</v>
      </c>
      <c r="E184" s="99">
        <f t="shared" si="23"/>
        <v>30</v>
      </c>
      <c r="F184" s="102">
        <f t="shared" si="22"/>
        <v>0.5</v>
      </c>
      <c r="G184" s="103">
        <f t="shared" si="22"/>
        <v>0.5</v>
      </c>
      <c r="H184" s="104">
        <f t="shared" si="24"/>
        <v>1</v>
      </c>
    </row>
    <row r="185" spans="1:14" x14ac:dyDescent="0.25">
      <c r="A185" s="277"/>
      <c r="B185" s="193" t="s">
        <v>261</v>
      </c>
      <c r="C185" s="78">
        <f>COUNTIF('Traçabilité et info patient'!$C$43:$AF$43,'Menus déroulants'!$H$2)</f>
        <v>15</v>
      </c>
      <c r="D185" s="95">
        <f>COUNTIF('Traçabilité et info patient'!$C$43:$AF$43,'Menus déroulants'!$H$3)</f>
        <v>15</v>
      </c>
      <c r="E185" s="94">
        <f t="shared" si="23"/>
        <v>30</v>
      </c>
      <c r="F185" s="96">
        <f t="shared" si="22"/>
        <v>0.5</v>
      </c>
      <c r="G185" s="97">
        <f t="shared" si="22"/>
        <v>0.5</v>
      </c>
      <c r="H185" s="98">
        <f t="shared" si="24"/>
        <v>1</v>
      </c>
    </row>
    <row r="186" spans="1:14" ht="23.25" thickBot="1" x14ac:dyDescent="0.3">
      <c r="A186" s="278"/>
      <c r="B186" s="195" t="s">
        <v>262</v>
      </c>
      <c r="C186" s="125">
        <f>COUNTIF('Traçabilité et info patient'!$C$45:$AF$45,'Menus déroulants'!$H$2)</f>
        <v>15</v>
      </c>
      <c r="D186" s="120">
        <f>COUNTIF('Traçabilité et info patient'!$C$45:$AF$45,'Menus déroulants'!$H$3)</f>
        <v>15</v>
      </c>
      <c r="E186" s="126">
        <f t="shared" si="23"/>
        <v>30</v>
      </c>
      <c r="F186" s="127">
        <f t="shared" si="22"/>
        <v>0.5</v>
      </c>
      <c r="G186" s="121">
        <f t="shared" si="22"/>
        <v>0.5</v>
      </c>
      <c r="H186" s="122">
        <f t="shared" si="24"/>
        <v>1</v>
      </c>
    </row>
    <row r="188" spans="1:14" ht="15.75" x14ac:dyDescent="0.25">
      <c r="A188" s="282" t="s">
        <v>305</v>
      </c>
      <c r="B188" s="282"/>
      <c r="C188" s="282"/>
      <c r="D188" s="282"/>
      <c r="E188" s="282"/>
      <c r="F188" s="282"/>
      <c r="G188" s="282"/>
      <c r="H188" s="282"/>
    </row>
    <row r="189" spans="1:14" ht="15.75" thickBot="1" x14ac:dyDescent="0.3">
      <c r="I189" s="403" t="s">
        <v>327</v>
      </c>
      <c r="J189" s="403"/>
      <c r="K189" s="403"/>
      <c r="L189" s="403"/>
      <c r="M189" s="403"/>
      <c r="N189" s="403"/>
    </row>
    <row r="190" spans="1:14" x14ac:dyDescent="0.25">
      <c r="A190" s="266" t="s">
        <v>115</v>
      </c>
      <c r="B190" s="287"/>
      <c r="C190" s="279" t="s">
        <v>60</v>
      </c>
      <c r="D190" s="280"/>
      <c r="E190" s="280"/>
      <c r="F190" s="281"/>
      <c r="G190"/>
      <c r="H190"/>
    </row>
    <row r="191" spans="1:14" ht="15.75" thickBot="1" x14ac:dyDescent="0.3">
      <c r="A191" s="268"/>
      <c r="B191" s="288"/>
      <c r="C191" s="79" t="s">
        <v>300</v>
      </c>
      <c r="D191" s="106" t="s">
        <v>301</v>
      </c>
      <c r="E191" s="106" t="s">
        <v>147</v>
      </c>
      <c r="F191" s="105" t="s">
        <v>302</v>
      </c>
      <c r="G191"/>
      <c r="H191"/>
      <c r="I191" s="402" t="s">
        <v>333</v>
      </c>
      <c r="J191" s="402"/>
      <c r="K191" s="402"/>
      <c r="L191" s="402"/>
      <c r="M191" s="402"/>
      <c r="N191" s="402"/>
    </row>
    <row r="192" spans="1:14" ht="36" x14ac:dyDescent="0.25">
      <c r="A192" s="289" t="s">
        <v>306</v>
      </c>
      <c r="B192" s="163" t="s">
        <v>324</v>
      </c>
      <c r="C192" s="100">
        <f>COUNTIF('Traçabilité et info patient'!$C$22:$AF$22,'Menus déroulants'!$K$2)</f>
        <v>0</v>
      </c>
      <c r="D192" s="101">
        <f>COUNTIF('Traçabilité et info patient'!$C$22:$AF$22,'Menus déroulants'!$K$3)</f>
        <v>0</v>
      </c>
      <c r="E192" s="101">
        <f>COUNTIF('Traçabilité et info patient'!$C$22:$AF$22,'Menus déroulants'!$K$4)</f>
        <v>30</v>
      </c>
      <c r="F192" s="88">
        <f>SUM(C192:E192)</f>
        <v>30</v>
      </c>
      <c r="G192"/>
      <c r="H192"/>
    </row>
    <row r="193" spans="1:14" ht="60" x14ac:dyDescent="0.25">
      <c r="A193" s="301"/>
      <c r="B193" s="164" t="s">
        <v>323</v>
      </c>
      <c r="C193" s="78">
        <f>COUNTIF('Traçabilité et info patient'!$C$46:$AF$46,'Menus déroulants'!$K$2)</f>
        <v>7</v>
      </c>
      <c r="D193" s="95">
        <f>COUNTIF('Traçabilité et info patient'!$C$46:$AF$46,'Menus déroulants'!$K$3)</f>
        <v>5</v>
      </c>
      <c r="E193" s="95">
        <f>COUNTIF('Traçabilité et info patient'!$C$46:$AF$46,'Menus déroulants'!$K$4)</f>
        <v>18</v>
      </c>
      <c r="F193" s="94">
        <f>SUM(C193:E193)</f>
        <v>30</v>
      </c>
      <c r="G193"/>
      <c r="H193"/>
    </row>
    <row r="194" spans="1:14" ht="66" customHeight="1" thickBot="1" x14ac:dyDescent="0.3">
      <c r="A194" s="302"/>
      <c r="B194" s="179" t="s">
        <v>325</v>
      </c>
      <c r="C194" s="125">
        <f>COUNTIF('Traçabilité et info patient'!$C$22:$AF$22,'Menus déroulants'!$K$2)</f>
        <v>0</v>
      </c>
      <c r="D194" s="120">
        <f>COUNTIF('Traçabilité et info patient'!$C$22:$AF$22,'Menus déroulants'!$K$3)</f>
        <v>0</v>
      </c>
      <c r="E194" s="120">
        <f>COUNTIF('Traçabilité et info patient'!$C$22:$AF$22,'Menus déroulants'!$K$4)</f>
        <v>30</v>
      </c>
      <c r="F194" s="126">
        <f>SUM(C194:E194)</f>
        <v>30</v>
      </c>
      <c r="G194"/>
      <c r="H194"/>
    </row>
    <row r="195" spans="1:14" ht="15" customHeight="1" x14ac:dyDescent="0.25"/>
    <row r="196" spans="1:14" x14ac:dyDescent="0.25">
      <c r="A196" s="403" t="s">
        <v>327</v>
      </c>
      <c r="B196" s="403"/>
      <c r="C196" s="403"/>
      <c r="D196" s="403"/>
      <c r="E196" s="403"/>
      <c r="F196" s="403"/>
      <c r="G196" s="403"/>
      <c r="H196" s="403"/>
    </row>
    <row r="197" spans="1:14" ht="22.15" customHeight="1" x14ac:dyDescent="0.25"/>
    <row r="198" spans="1:14" ht="15.75" x14ac:dyDescent="0.25">
      <c r="A198" s="311" t="s">
        <v>333</v>
      </c>
      <c r="B198" s="311"/>
      <c r="C198" s="311"/>
      <c r="D198" s="311"/>
      <c r="E198" s="311"/>
      <c r="F198" s="311"/>
      <c r="G198" s="311"/>
      <c r="H198" s="311"/>
      <c r="I198" s="282" t="s">
        <v>334</v>
      </c>
      <c r="J198" s="282"/>
      <c r="K198" s="282"/>
      <c r="L198" s="282"/>
      <c r="M198" s="282"/>
      <c r="N198" s="282"/>
    </row>
    <row r="199" spans="1:14" ht="15.75" thickBot="1" x14ac:dyDescent="0.3">
      <c r="I199"/>
      <c r="J199"/>
      <c r="K199"/>
      <c r="L199"/>
      <c r="M199"/>
      <c r="N199"/>
    </row>
    <row r="200" spans="1:14" x14ac:dyDescent="0.25">
      <c r="A200" s="266" t="s">
        <v>115</v>
      </c>
      <c r="B200" s="287"/>
      <c r="C200" s="279" t="s">
        <v>60</v>
      </c>
      <c r="D200" s="280"/>
      <c r="E200" s="280"/>
      <c r="F200" s="281"/>
    </row>
    <row r="201" spans="1:14" ht="15.75" thickBot="1" x14ac:dyDescent="0.3">
      <c r="A201" s="268"/>
      <c r="B201" s="288"/>
      <c r="C201" s="79" t="s">
        <v>300</v>
      </c>
      <c r="D201" s="106" t="s">
        <v>301</v>
      </c>
      <c r="E201" s="106" t="s">
        <v>332</v>
      </c>
      <c r="F201" s="105" t="s">
        <v>302</v>
      </c>
    </row>
    <row r="202" spans="1:14" ht="23.25" customHeight="1" thickBot="1" x14ac:dyDescent="0.3">
      <c r="A202" s="318" t="s">
        <v>328</v>
      </c>
      <c r="B202" s="319"/>
      <c r="C202" s="216">
        <f>COUNTIF('Traçabilité et info patient'!$C$48:$AF$48,'Menus déroulants'!$M$2)</f>
        <v>8</v>
      </c>
      <c r="D202" s="217">
        <f>COUNTIF('Traçabilité et info patient'!$C$48:$AF$48,'Menus déroulants'!$M$3)</f>
        <v>15</v>
      </c>
      <c r="E202" s="217">
        <f>COUNTIF('Traçabilité et info patient'!$C$48:$AF$48,'Menus déroulants'!$M$4)</f>
        <v>7</v>
      </c>
      <c r="F202" s="218">
        <f>SUM(C202:E202)</f>
        <v>30</v>
      </c>
    </row>
    <row r="203" spans="1:14" x14ac:dyDescent="0.25">
      <c r="A203"/>
      <c r="B203"/>
      <c r="C203"/>
      <c r="D203"/>
      <c r="E203"/>
      <c r="F203"/>
      <c r="G203"/>
      <c r="H203"/>
    </row>
    <row r="204" spans="1:14" ht="15.75" x14ac:dyDescent="0.25">
      <c r="A204" s="282" t="s">
        <v>334</v>
      </c>
      <c r="B204" s="282"/>
      <c r="C204" s="282"/>
      <c r="D204" s="282"/>
      <c r="E204" s="282"/>
      <c r="F204" s="282"/>
      <c r="G204" s="282"/>
      <c r="H204" s="282"/>
    </row>
    <row r="205" spans="1:14" ht="15.75" thickBot="1" x14ac:dyDescent="0.3"/>
    <row r="206" spans="1:14" x14ac:dyDescent="0.25">
      <c r="A206" s="266" t="s">
        <v>115</v>
      </c>
      <c r="B206" s="287"/>
      <c r="C206" s="289" t="s">
        <v>60</v>
      </c>
      <c r="D206" s="290"/>
      <c r="E206" s="291"/>
      <c r="F206" s="289" t="s">
        <v>225</v>
      </c>
      <c r="G206" s="290"/>
      <c r="H206" s="291"/>
    </row>
    <row r="207" spans="1:14" ht="28.9" customHeight="1" thickBot="1" x14ac:dyDescent="0.3">
      <c r="A207" s="268"/>
      <c r="B207" s="288"/>
      <c r="C207" s="79" t="s">
        <v>300</v>
      </c>
      <c r="D207" s="106" t="s">
        <v>301</v>
      </c>
      <c r="E207" s="105" t="s">
        <v>302</v>
      </c>
      <c r="F207" s="79" t="s">
        <v>300</v>
      </c>
      <c r="G207" s="106" t="s">
        <v>301</v>
      </c>
      <c r="H207" s="105" t="s">
        <v>302</v>
      </c>
    </row>
    <row r="208" spans="1:14" ht="33.75" x14ac:dyDescent="0.25">
      <c r="A208" s="276" t="s">
        <v>342</v>
      </c>
      <c r="B208" s="219" t="s">
        <v>345</v>
      </c>
      <c r="C208" s="100">
        <f>COUNTIF('Traçabilité et info patient'!$C$50:$AF$50,'Menus déroulants'!$H$2)</f>
        <v>0</v>
      </c>
      <c r="D208" s="101">
        <f>COUNTIF('Traçabilité et info patient'!$C$50:$AF$50,'Menus déroulants'!$H$3)</f>
        <v>0</v>
      </c>
      <c r="E208" s="99">
        <f>SUM(C208:D208)</f>
        <v>0</v>
      </c>
      <c r="F208" s="91">
        <f t="shared" ref="F208:F213" si="25">C208/$E$11</f>
        <v>0</v>
      </c>
      <c r="G208" s="92">
        <f t="shared" ref="G208:G213" si="26">D208/$E$11</f>
        <v>0</v>
      </c>
      <c r="H208" s="93">
        <f>SUM(F208:G208)</f>
        <v>0</v>
      </c>
    </row>
    <row r="209" spans="1:14" ht="22.5" x14ac:dyDescent="0.25">
      <c r="A209" s="277"/>
      <c r="B209" s="193" t="s">
        <v>343</v>
      </c>
      <c r="C209" s="78">
        <f>COUNTIF('Traçabilité et info patient'!$C$51:$AF$51,'Menus déroulants'!$H$2)</f>
        <v>0</v>
      </c>
      <c r="D209" s="95">
        <f>COUNTIF('Traçabilité et info patient'!$C$51:$AF$51,'Menus déroulants'!$H$3)</f>
        <v>0</v>
      </c>
      <c r="E209" s="94">
        <f t="shared" ref="E209:E213" si="27">SUM(C209:D209)</f>
        <v>0</v>
      </c>
      <c r="F209" s="96">
        <f t="shared" si="25"/>
        <v>0</v>
      </c>
      <c r="G209" s="97">
        <f t="shared" si="26"/>
        <v>0</v>
      </c>
      <c r="H209" s="98">
        <f t="shared" ref="H209:H213" si="28">SUM(F209:G209)</f>
        <v>0</v>
      </c>
    </row>
    <row r="210" spans="1:14" x14ac:dyDescent="0.25">
      <c r="A210" s="277"/>
      <c r="B210" s="194" t="s">
        <v>344</v>
      </c>
      <c r="C210" s="100">
        <f>COUNTIF('Traçabilité et info patient'!$C$52:$AF$52,'Menus déroulants'!$H$2)</f>
        <v>0</v>
      </c>
      <c r="D210" s="101">
        <f>COUNTIF('Traçabilité et info patient'!$C$52:$AF$52,'Menus déroulants'!$H$3)</f>
        <v>0</v>
      </c>
      <c r="E210" s="99">
        <f t="shared" si="27"/>
        <v>0</v>
      </c>
      <c r="F210" s="102">
        <f t="shared" si="25"/>
        <v>0</v>
      </c>
      <c r="G210" s="103">
        <f t="shared" si="26"/>
        <v>0</v>
      </c>
      <c r="H210" s="104">
        <f t="shared" si="28"/>
        <v>0</v>
      </c>
    </row>
    <row r="211" spans="1:14" ht="22.5" x14ac:dyDescent="0.25">
      <c r="A211" s="277"/>
      <c r="B211" s="193" t="s">
        <v>346</v>
      </c>
      <c r="C211" s="78">
        <f>COUNTIF('Traçabilité et info patient'!$C$53:$AF$53,'Menus déroulants'!$H$2)</f>
        <v>0</v>
      </c>
      <c r="D211" s="95">
        <f>COUNTIF('Traçabilité et info patient'!$C$53:$AF$53,'Menus déroulants'!$H$3)</f>
        <v>0</v>
      </c>
      <c r="E211" s="94">
        <f t="shared" si="27"/>
        <v>0</v>
      </c>
      <c r="F211" s="96">
        <f t="shared" si="25"/>
        <v>0</v>
      </c>
      <c r="G211" s="97">
        <f t="shared" si="26"/>
        <v>0</v>
      </c>
      <c r="H211" s="98">
        <f t="shared" si="28"/>
        <v>0</v>
      </c>
    </row>
    <row r="212" spans="1:14" ht="21.75" customHeight="1" x14ac:dyDescent="0.25">
      <c r="A212" s="277"/>
      <c r="B212" s="194" t="s">
        <v>347</v>
      </c>
      <c r="C212" s="100">
        <f>COUNTIF('Traçabilité et info patient'!$C$54:$AF$54,'Menus déroulants'!$H$2)</f>
        <v>0</v>
      </c>
      <c r="D212" s="101">
        <f>COUNTIF('Traçabilité et info patient'!$C$54:$AF$54,'Menus déroulants'!$H$3)</f>
        <v>0</v>
      </c>
      <c r="E212" s="99">
        <f t="shared" si="27"/>
        <v>0</v>
      </c>
      <c r="F212" s="102">
        <f t="shared" si="25"/>
        <v>0</v>
      </c>
      <c r="G212" s="103">
        <f t="shared" si="26"/>
        <v>0</v>
      </c>
      <c r="H212" s="104">
        <f t="shared" si="28"/>
        <v>0</v>
      </c>
    </row>
    <row r="213" spans="1:14" x14ac:dyDescent="0.25">
      <c r="A213" s="277"/>
      <c r="B213" s="193" t="s">
        <v>348</v>
      </c>
      <c r="C213" s="78">
        <f>COUNTIF('Traçabilité et info patient'!$C$55:$AF$55,'Menus déroulants'!$H$2)</f>
        <v>30</v>
      </c>
      <c r="D213" s="95">
        <f>COUNTIF('Traçabilité et info patient'!$C$55:$AF$55,'Menus déroulants'!$H$3)</f>
        <v>0</v>
      </c>
      <c r="E213" s="94">
        <f t="shared" si="27"/>
        <v>30</v>
      </c>
      <c r="F213" s="96">
        <f t="shared" si="25"/>
        <v>1</v>
      </c>
      <c r="G213" s="97">
        <f t="shared" si="26"/>
        <v>0</v>
      </c>
      <c r="H213" s="98">
        <f t="shared" si="28"/>
        <v>1</v>
      </c>
    </row>
    <row r="214" spans="1:14" x14ac:dyDescent="0.25">
      <c r="A214" s="258"/>
      <c r="B214" s="178"/>
      <c r="C214" s="146"/>
      <c r="D214" s="146"/>
      <c r="E214" s="146"/>
      <c r="F214" s="147"/>
      <c r="G214" s="147"/>
      <c r="H214" s="147"/>
    </row>
    <row r="215" spans="1:14" ht="15.75" x14ac:dyDescent="0.25">
      <c r="A215" s="282" t="s">
        <v>350</v>
      </c>
      <c r="B215" s="282"/>
      <c r="C215" s="282"/>
      <c r="D215" s="282"/>
      <c r="E215" s="282"/>
      <c r="F215" s="282"/>
      <c r="G215" s="282"/>
      <c r="H215" s="282"/>
      <c r="I215" s="282" t="s">
        <v>350</v>
      </c>
      <c r="J215" s="282"/>
      <c r="K215" s="282"/>
      <c r="L215" s="282"/>
      <c r="M215" s="282"/>
      <c r="N215" s="282"/>
    </row>
    <row r="216" spans="1:14" ht="15.75" thickBot="1" x14ac:dyDescent="0.3"/>
    <row r="217" spans="1:14" x14ac:dyDescent="0.25">
      <c r="A217" s="266" t="s">
        <v>115</v>
      </c>
      <c r="B217" s="287"/>
      <c r="C217" s="289" t="s">
        <v>60</v>
      </c>
      <c r="D217" s="290"/>
      <c r="E217" s="291"/>
      <c r="F217" s="289" t="s">
        <v>225</v>
      </c>
      <c r="G217" s="290"/>
      <c r="H217" s="291"/>
    </row>
    <row r="218" spans="1:14" ht="15.75" thickBot="1" x14ac:dyDescent="0.3">
      <c r="A218" s="268"/>
      <c r="B218" s="288"/>
      <c r="C218" s="79" t="s">
        <v>300</v>
      </c>
      <c r="D218" s="106" t="s">
        <v>301</v>
      </c>
      <c r="E218" s="105" t="s">
        <v>302</v>
      </c>
      <c r="F218" s="79" t="s">
        <v>300</v>
      </c>
      <c r="G218" s="106" t="s">
        <v>301</v>
      </c>
      <c r="H218" s="105" t="s">
        <v>302</v>
      </c>
    </row>
    <row r="219" spans="1:14" ht="56.25" x14ac:dyDescent="0.25">
      <c r="A219" s="284" t="s">
        <v>342</v>
      </c>
      <c r="B219" s="219" t="s">
        <v>363</v>
      </c>
      <c r="C219" s="100">
        <f>COUNTIF('Traçabilité et info patient'!$C$57:$AF$57,'Menus déroulants'!$H$2)</f>
        <v>0</v>
      </c>
      <c r="D219" s="101">
        <f>COUNTIF('Traçabilité et info patient'!$C$57:$AF$57,'Menus déroulants'!$H$3)</f>
        <v>0</v>
      </c>
      <c r="E219" s="99">
        <f>SUM(C219:D219)</f>
        <v>0</v>
      </c>
      <c r="F219" s="91">
        <f t="shared" ref="F219:F224" si="29">C219/$E$11</f>
        <v>0</v>
      </c>
      <c r="G219" s="92">
        <f t="shared" ref="G219:G224" si="30">D219/$E$11</f>
        <v>0</v>
      </c>
      <c r="H219" s="93">
        <f>SUM(F219:G219)</f>
        <v>0</v>
      </c>
    </row>
    <row r="220" spans="1:14" ht="33.75" x14ac:dyDescent="0.25">
      <c r="A220" s="285"/>
      <c r="B220" s="193" t="s">
        <v>357</v>
      </c>
      <c r="C220" s="78">
        <f>COUNTIF('Traçabilité et info patient'!$C$58:$AF$58,'Menus déroulants'!$H$2)</f>
        <v>0</v>
      </c>
      <c r="D220" s="95">
        <f>COUNTIF('Traçabilité et info patient'!$C$58:$AF$58,'Menus déroulants'!$H$3)</f>
        <v>0</v>
      </c>
      <c r="E220" s="94">
        <f t="shared" ref="E220:E224" si="31">SUM(C220:D220)</f>
        <v>0</v>
      </c>
      <c r="F220" s="96">
        <f t="shared" si="29"/>
        <v>0</v>
      </c>
      <c r="G220" s="97">
        <f t="shared" si="30"/>
        <v>0</v>
      </c>
      <c r="H220" s="98">
        <f t="shared" ref="H220:H224" si="32">SUM(F220:G220)</f>
        <v>0</v>
      </c>
    </row>
    <row r="221" spans="1:14" ht="15.75" customHeight="1" x14ac:dyDescent="0.25">
      <c r="A221" s="285"/>
      <c r="B221" s="194" t="s">
        <v>359</v>
      </c>
      <c r="C221" s="100">
        <f>COUNTIF('Traçabilité et info patient'!$C$59:$AF$59,'Menus déroulants'!$H$2)</f>
        <v>0</v>
      </c>
      <c r="D221" s="101">
        <f>COUNTIF('Traçabilité et info patient'!$C$59:$AF$59,'Menus déroulants'!$H$3)</f>
        <v>0</v>
      </c>
      <c r="E221" s="99">
        <f t="shared" si="31"/>
        <v>0</v>
      </c>
      <c r="F221" s="102">
        <f t="shared" si="29"/>
        <v>0</v>
      </c>
      <c r="G221" s="103">
        <f t="shared" si="30"/>
        <v>0</v>
      </c>
      <c r="H221" s="104">
        <f t="shared" si="32"/>
        <v>0</v>
      </c>
    </row>
    <row r="222" spans="1:14" ht="45" x14ac:dyDescent="0.25">
      <c r="A222" s="285"/>
      <c r="B222" s="193" t="s">
        <v>360</v>
      </c>
      <c r="C222" s="78">
        <f>COUNTIF('Traçabilité et info patient'!$C$60:$AF$60,'Menus déroulants'!$H$2)</f>
        <v>0</v>
      </c>
      <c r="D222" s="95">
        <f>COUNTIF('Traçabilité et info patient'!$C$60:$AF$60,'Menus déroulants'!$H$3)</f>
        <v>0</v>
      </c>
      <c r="E222" s="94">
        <f t="shared" si="31"/>
        <v>0</v>
      </c>
      <c r="F222" s="96">
        <f t="shared" si="29"/>
        <v>0</v>
      </c>
      <c r="G222" s="97">
        <f t="shared" si="30"/>
        <v>0</v>
      </c>
      <c r="H222" s="98">
        <f t="shared" si="32"/>
        <v>0</v>
      </c>
    </row>
    <row r="223" spans="1:14" ht="45" x14ac:dyDescent="0.25">
      <c r="A223" s="285"/>
      <c r="B223" s="194" t="s">
        <v>361</v>
      </c>
      <c r="C223" s="100">
        <f>COUNTIF('Traçabilité et info patient'!$C$61:$AF$61,'Menus déroulants'!$H$2)</f>
        <v>0</v>
      </c>
      <c r="D223" s="101">
        <f>COUNTIF('Traçabilité et info patient'!$C$61:$AF$61,'Menus déroulants'!$H$3)</f>
        <v>0</v>
      </c>
      <c r="E223" s="99">
        <f t="shared" si="31"/>
        <v>0</v>
      </c>
      <c r="F223" s="102">
        <f t="shared" si="29"/>
        <v>0</v>
      </c>
      <c r="G223" s="103">
        <f t="shared" si="30"/>
        <v>0</v>
      </c>
      <c r="H223" s="104">
        <f t="shared" si="32"/>
        <v>0</v>
      </c>
    </row>
    <row r="224" spans="1:14" ht="27.6" customHeight="1" x14ac:dyDescent="0.25">
      <c r="A224" s="285"/>
      <c r="B224" s="193" t="s">
        <v>362</v>
      </c>
      <c r="C224" s="78">
        <f>COUNTIF('Traçabilité et info patient'!$C$62:$AF$62,'Menus déroulants'!$H$2)</f>
        <v>0</v>
      </c>
      <c r="D224" s="95">
        <f>COUNTIF('Traçabilité et info patient'!$C$62:$AF$62,'Menus déroulants'!$H$3)</f>
        <v>0</v>
      </c>
      <c r="E224" s="94">
        <f t="shared" si="31"/>
        <v>0</v>
      </c>
      <c r="F224" s="96">
        <f t="shared" si="29"/>
        <v>0</v>
      </c>
      <c r="G224" s="97">
        <f t="shared" si="30"/>
        <v>0</v>
      </c>
      <c r="H224" s="98">
        <f t="shared" si="32"/>
        <v>0</v>
      </c>
    </row>
    <row r="225" spans="1:14" ht="24" customHeight="1" x14ac:dyDescent="0.25">
      <c r="A225" s="286"/>
      <c r="B225" s="194" t="s">
        <v>348</v>
      </c>
      <c r="C225" s="100">
        <f>COUNTIF('Traçabilité et info patient'!$C$63:$AF$63,'Menus déroulants'!$H$2)</f>
        <v>30</v>
      </c>
      <c r="D225" s="101">
        <f>COUNTIF('Traçabilité et info patient'!$C$63:$AF$63,'Menus déroulants'!$H$3)</f>
        <v>0</v>
      </c>
      <c r="E225" s="99">
        <f t="shared" ref="E225" si="33">SUM(C225:D225)</f>
        <v>30</v>
      </c>
      <c r="F225" s="102">
        <f t="shared" ref="F225" si="34">C225/$E$11</f>
        <v>1</v>
      </c>
      <c r="G225" s="103">
        <f t="shared" ref="G225" si="35">D225/$E$11</f>
        <v>0</v>
      </c>
      <c r="H225" s="104">
        <f t="shared" ref="H225" si="36">SUM(F225:G225)</f>
        <v>1</v>
      </c>
    </row>
    <row r="226" spans="1:14" x14ac:dyDescent="0.25">
      <c r="A226"/>
      <c r="B226"/>
      <c r="C226"/>
      <c r="D226"/>
      <c r="E226"/>
      <c r="F226"/>
      <c r="G226"/>
      <c r="H226"/>
    </row>
    <row r="228" spans="1:14" ht="15.75" x14ac:dyDescent="0.25">
      <c r="A228" s="283" t="s">
        <v>394</v>
      </c>
      <c r="B228" s="283"/>
      <c r="C228" s="283"/>
      <c r="D228" s="283"/>
      <c r="E228" s="283"/>
      <c r="F228" s="283"/>
      <c r="G228" s="283"/>
      <c r="H228" s="283"/>
      <c r="I228" s="283" t="s">
        <v>394</v>
      </c>
      <c r="J228" s="283"/>
      <c r="K228" s="283"/>
      <c r="L228" s="283"/>
      <c r="M228" s="283"/>
      <c r="N228" s="283"/>
    </row>
    <row r="230" spans="1:14" ht="15.75" x14ac:dyDescent="0.25">
      <c r="A230" s="297" t="s">
        <v>115</v>
      </c>
      <c r="B230" s="297"/>
      <c r="C230" s="234" t="s">
        <v>101</v>
      </c>
      <c r="D230" s="231" t="s">
        <v>167</v>
      </c>
      <c r="E230" s="232" t="s">
        <v>228</v>
      </c>
      <c r="F230" s="233" t="s">
        <v>104</v>
      </c>
      <c r="I230" s="324" t="s">
        <v>395</v>
      </c>
      <c r="J230" s="282"/>
      <c r="K230" s="282"/>
      <c r="L230" s="282"/>
      <c r="M230" s="282"/>
      <c r="N230" s="282"/>
    </row>
    <row r="231" spans="1:14" x14ac:dyDescent="0.25">
      <c r="A231" s="297" t="s">
        <v>396</v>
      </c>
      <c r="B231" s="297"/>
      <c r="C231" s="235">
        <f>COUNTIF('Traçabilité et info patient'!$C$64:$AF$64,$C$230)</f>
        <v>8</v>
      </c>
      <c r="D231" s="236">
        <f>COUNTIF('Traçabilité et info patient'!$C$64:$AF$64,$D$230)</f>
        <v>8</v>
      </c>
      <c r="E231" s="236">
        <f>COUNTIF('Traçabilité et info patient'!$C$64:$AF$64,$E$230)</f>
        <v>7</v>
      </c>
      <c r="F231" s="236">
        <f>COUNTIF('Traçabilité et info patient'!$C$64:$AF$64,$F$230)</f>
        <v>7</v>
      </c>
    </row>
    <row r="232" spans="1:14" ht="15.75" thickBot="1" x14ac:dyDescent="0.3"/>
    <row r="233" spans="1:14" ht="24.75" customHeight="1" x14ac:dyDescent="0.25">
      <c r="A233" s="266" t="s">
        <v>115</v>
      </c>
      <c r="B233" s="267"/>
      <c r="C233" s="270" t="s">
        <v>60</v>
      </c>
      <c r="D233" s="271"/>
      <c r="E233" s="272"/>
      <c r="F233" s="270" t="s">
        <v>225</v>
      </c>
      <c r="G233" s="271"/>
      <c r="H233" s="272"/>
    </row>
    <row r="234" spans="1:14" ht="15.75" thickBot="1" x14ac:dyDescent="0.3">
      <c r="A234" s="268"/>
      <c r="B234" s="269"/>
      <c r="C234" s="237" t="s">
        <v>300</v>
      </c>
      <c r="D234" s="238" t="s">
        <v>301</v>
      </c>
      <c r="E234" s="239" t="s">
        <v>302</v>
      </c>
      <c r="F234" s="237" t="s">
        <v>300</v>
      </c>
      <c r="G234" s="238" t="s">
        <v>301</v>
      </c>
      <c r="H234" s="239" t="s">
        <v>302</v>
      </c>
    </row>
    <row r="235" spans="1:14" x14ac:dyDescent="0.25">
      <c r="A235" s="295" t="s">
        <v>427</v>
      </c>
      <c r="B235" s="296"/>
      <c r="C235" s="240">
        <f>COUNTIF('Traçabilité et info patient'!$C$65:$AF$65,$C$230)</f>
        <v>15</v>
      </c>
      <c r="D235" s="241">
        <f>COUNTIF('Traçabilité et info patient'!$C$65:$AF$65,$F$230)</f>
        <v>15</v>
      </c>
      <c r="E235" s="242">
        <f>SUM(C235:D235)</f>
        <v>30</v>
      </c>
      <c r="F235" s="246">
        <f>C235/E235</f>
        <v>0.5</v>
      </c>
      <c r="G235" s="247">
        <f>D235/E235</f>
        <v>0.5</v>
      </c>
      <c r="H235" s="248">
        <f>E235/$E$11</f>
        <v>1</v>
      </c>
    </row>
    <row r="236" spans="1:14" ht="15.75" thickBot="1" x14ac:dyDescent="0.3">
      <c r="A236" s="264" t="s">
        <v>428</v>
      </c>
      <c r="B236" s="265"/>
      <c r="C236" s="243">
        <f>COUNTIF('Traçabilité et info patient'!$C$67:$AF$67,$C$230)</f>
        <v>15</v>
      </c>
      <c r="D236" s="244">
        <f>COUNTIF('Traçabilité et info patient'!$C$67:$AF$67,$F$230)</f>
        <v>15</v>
      </c>
      <c r="E236" s="245">
        <f>SUM(C236:D236)</f>
        <v>30</v>
      </c>
      <c r="F236" s="249">
        <f>C236/E236</f>
        <v>0.5</v>
      </c>
      <c r="G236" s="250">
        <f>D236/E236</f>
        <v>0.5</v>
      </c>
      <c r="H236" s="251">
        <f>E236/$E$11</f>
        <v>1</v>
      </c>
    </row>
    <row r="255" spans="9:14" x14ac:dyDescent="0.25">
      <c r="I255" s="77"/>
      <c r="J255" s="77"/>
      <c r="K255" s="77"/>
      <c r="L255" s="77"/>
      <c r="M255" s="77"/>
      <c r="N255" s="77"/>
    </row>
    <row r="256" spans="9:14" x14ac:dyDescent="0.25">
      <c r="I256" s="77"/>
      <c r="J256" s="77"/>
      <c r="K256" s="77"/>
      <c r="L256" s="77"/>
      <c r="M256" s="77"/>
      <c r="N256" s="77"/>
    </row>
    <row r="261" spans="1:14" s="198" customFormat="1" ht="24" customHeight="1" x14ac:dyDescent="0.25">
      <c r="A261" s="76"/>
      <c r="B261" s="160"/>
      <c r="C261" s="76"/>
      <c r="D261" s="76"/>
      <c r="E261" s="76"/>
      <c r="F261" s="76"/>
      <c r="G261" s="76"/>
      <c r="H261" s="76"/>
      <c r="I261" s="74"/>
      <c r="J261" s="74"/>
      <c r="K261" s="74"/>
      <c r="L261" s="74"/>
      <c r="M261" s="74"/>
      <c r="N261" s="74"/>
    </row>
    <row r="262" spans="1:14" s="198" customFormat="1" ht="24" customHeight="1" x14ac:dyDescent="0.25">
      <c r="A262" s="76"/>
      <c r="B262" s="160"/>
      <c r="C262" s="76"/>
      <c r="D262" s="76"/>
      <c r="E262" s="76"/>
      <c r="F262" s="76"/>
      <c r="G262" s="76"/>
      <c r="H262" s="76"/>
      <c r="I262" s="74"/>
      <c r="J262" s="74"/>
      <c r="K262" s="74"/>
      <c r="L262" s="74"/>
      <c r="M262" s="74"/>
      <c r="N262" s="74"/>
    </row>
  </sheetData>
  <sheetProtection algorithmName="SHA-512" hashValue="24MNPxcJThXUvIqhQdVlaV85EOyqRyZ1GAw2cfYjGbEERTHpU5p6SxpXSbExUrIpbXaYTWOM9Z/eeUpPYOSTxQ==" saltValue="xZzB3ur/fZbwdO2e9HiXAA==" spinCount="100000" sheet="1" objects="1" scenarios="1" formatCells="0" formatColumns="0" formatRows="0" autoFilter="0"/>
  <mergeCells count="113">
    <mergeCell ref="I230:N230"/>
    <mergeCell ref="I191:N191"/>
    <mergeCell ref="I215:N215"/>
    <mergeCell ref="A215:H215"/>
    <mergeCell ref="A217:B218"/>
    <mergeCell ref="C217:E217"/>
    <mergeCell ref="F217:H217"/>
    <mergeCell ref="A206:B207"/>
    <mergeCell ref="C206:E206"/>
    <mergeCell ref="F206:H206"/>
    <mergeCell ref="A208:A213"/>
    <mergeCell ref="A204:H204"/>
    <mergeCell ref="I189:N189"/>
    <mergeCell ref="A200:B201"/>
    <mergeCell ref="C200:F200"/>
    <mergeCell ref="A202:B202"/>
    <mergeCell ref="A198:H198"/>
    <mergeCell ref="I177:N177"/>
    <mergeCell ref="A112:A116"/>
    <mergeCell ref="A117:A121"/>
    <mergeCell ref="A122:A126"/>
    <mergeCell ref="I136:N136"/>
    <mergeCell ref="I163:N163"/>
    <mergeCell ref="A163:H163"/>
    <mergeCell ref="A164:B164"/>
    <mergeCell ref="A165:A169"/>
    <mergeCell ref="I150:N150"/>
    <mergeCell ref="A177:H177"/>
    <mergeCell ref="C178:E178"/>
    <mergeCell ref="F178:H178"/>
    <mergeCell ref="A178:B179"/>
    <mergeCell ref="A155:A161"/>
    <mergeCell ref="A190:B191"/>
    <mergeCell ref="A192:A194"/>
    <mergeCell ref="I198:N198"/>
    <mergeCell ref="A153:B154"/>
    <mergeCell ref="C153:E153"/>
    <mergeCell ref="A110:B110"/>
    <mergeCell ref="A127:A131"/>
    <mergeCell ref="A132:A136"/>
    <mergeCell ref="A137:A141"/>
    <mergeCell ref="A142:A146"/>
    <mergeCell ref="C72:H72"/>
    <mergeCell ref="F153:H153"/>
    <mergeCell ref="A151:H151"/>
    <mergeCell ref="C110:H110"/>
    <mergeCell ref="A49:H49"/>
    <mergeCell ref="A40:A47"/>
    <mergeCell ref="I74:N74"/>
    <mergeCell ref="A149:H149"/>
    <mergeCell ref="I135:N135"/>
    <mergeCell ref="A60:H60"/>
    <mergeCell ref="A62:B63"/>
    <mergeCell ref="C62:E62"/>
    <mergeCell ref="F62:H62"/>
    <mergeCell ref="A64:A68"/>
    <mergeCell ref="I88:N88"/>
    <mergeCell ref="A74:A78"/>
    <mergeCell ref="A79:A83"/>
    <mergeCell ref="A84:A88"/>
    <mergeCell ref="A89:A93"/>
    <mergeCell ref="A94:A98"/>
    <mergeCell ref="I1:N1"/>
    <mergeCell ref="A11:A18"/>
    <mergeCell ref="A24:A27"/>
    <mergeCell ref="F9:H9"/>
    <mergeCell ref="C9:E9"/>
    <mergeCell ref="A9:B10"/>
    <mergeCell ref="B1:C1"/>
    <mergeCell ref="B2:C2"/>
    <mergeCell ref="B3:C3"/>
    <mergeCell ref="E1:G1"/>
    <mergeCell ref="A20:H20"/>
    <mergeCell ref="I20:N20"/>
    <mergeCell ref="E2:G2"/>
    <mergeCell ref="E3:G3"/>
    <mergeCell ref="A7:H7"/>
    <mergeCell ref="A5:H5"/>
    <mergeCell ref="A22:B23"/>
    <mergeCell ref="C22:E22"/>
    <mergeCell ref="F22:H22"/>
    <mergeCell ref="I3:N3"/>
    <mergeCell ref="A99:A103"/>
    <mergeCell ref="A104:A108"/>
    <mergeCell ref="A235:B235"/>
    <mergeCell ref="A231:B231"/>
    <mergeCell ref="A230:B230"/>
    <mergeCell ref="C29:E29"/>
    <mergeCell ref="F29:H29"/>
    <mergeCell ref="A31:A38"/>
    <mergeCell ref="A30:B30"/>
    <mergeCell ref="A29:B29"/>
    <mergeCell ref="C51:E51"/>
    <mergeCell ref="F51:H51"/>
    <mergeCell ref="I228:N228"/>
    <mergeCell ref="A53:A55"/>
    <mergeCell ref="A56:A58"/>
    <mergeCell ref="A51:B52"/>
    <mergeCell ref="A39:B39"/>
    <mergeCell ref="I49:N49"/>
    <mergeCell ref="A72:B72"/>
    <mergeCell ref="A70:H70"/>
    <mergeCell ref="A236:B236"/>
    <mergeCell ref="A233:B234"/>
    <mergeCell ref="C233:E233"/>
    <mergeCell ref="F233:H233"/>
    <mergeCell ref="A170:A175"/>
    <mergeCell ref="A180:A186"/>
    <mergeCell ref="C190:F190"/>
    <mergeCell ref="A188:H188"/>
    <mergeCell ref="A228:H228"/>
    <mergeCell ref="A196:H196"/>
    <mergeCell ref="A219:A225"/>
  </mergeCells>
  <pageMargins left="0.5625" right="0.25" top="0.75" bottom="0.75" header="0.3" footer="0.3"/>
  <pageSetup paperSize="9" orientation="portrait" r:id="rId1"/>
  <headerFooter>
    <oddFooter>&amp;C&amp;K034EA2Enquête information patient&amp;R&amp;K034EA2&amp;P/&amp;N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E9405-3046-4364-B73A-D2EDFA86CF7E}">
  <sheetPr>
    <tabColor rgb="FFFFAB57"/>
  </sheetPr>
  <dimension ref="A1:L12"/>
  <sheetViews>
    <sheetView workbookViewId="0">
      <selection activeCell="K29" sqref="K29"/>
    </sheetView>
  </sheetViews>
  <sheetFormatPr baseColWidth="10" defaultRowHeight="15" x14ac:dyDescent="0.25"/>
  <sheetData>
    <row r="1" spans="1:12" ht="15.75" thickBot="1" x14ac:dyDescent="0.3">
      <c r="A1" s="81" t="s">
        <v>152</v>
      </c>
      <c r="B1" s="80"/>
      <c r="C1" s="80"/>
      <c r="E1" s="76"/>
      <c r="F1" s="276" t="str">
        <f>'Données patients'!C29</f>
        <v>Femme</v>
      </c>
      <c r="G1" s="325"/>
      <c r="H1" s="326"/>
      <c r="I1" s="327" t="str">
        <f>'Données patients'!F29</f>
        <v>Homme</v>
      </c>
      <c r="J1" s="290"/>
      <c r="K1" s="291"/>
      <c r="L1" s="287" t="e">
        <f>'Données patients'!#REF!</f>
        <v>#REF!</v>
      </c>
    </row>
    <row r="2" spans="1:12" ht="36.75" thickBot="1" x14ac:dyDescent="0.3">
      <c r="A2" s="82">
        <f>-'Données patients'!C12</f>
        <v>-1</v>
      </c>
      <c r="B2" s="80"/>
      <c r="C2" s="80"/>
      <c r="E2" s="112" t="str">
        <f>'Données patients'!A30</f>
        <v>Nombre d’implants posés</v>
      </c>
      <c r="F2" s="79">
        <f>'Données patients'!C30</f>
        <v>1</v>
      </c>
      <c r="G2" s="106">
        <f>'Données patients'!D30</f>
        <v>2</v>
      </c>
      <c r="H2" s="105" t="str">
        <f>'Données patients'!E30</f>
        <v>3 et +</v>
      </c>
      <c r="I2" s="130">
        <f>'Données patients'!F30</f>
        <v>1</v>
      </c>
      <c r="J2" s="106">
        <f>'Données patients'!G30</f>
        <v>2</v>
      </c>
      <c r="K2" s="105" t="str">
        <f>'Données patients'!H30</f>
        <v>3 et +</v>
      </c>
      <c r="L2" s="288"/>
    </row>
    <row r="3" spans="1:12" x14ac:dyDescent="0.25">
      <c r="A3" s="82">
        <f>-'Données patients'!C13</f>
        <v>-2</v>
      </c>
      <c r="B3" s="80"/>
      <c r="C3" s="80"/>
      <c r="E3" s="113" t="str">
        <f>'Données patients'!B31</f>
        <v>[  0 - 14 ans]</v>
      </c>
      <c r="F3" s="89">
        <f>-'Données patients'!C31</f>
        <v>0</v>
      </c>
      <c r="G3" s="90">
        <f>-'Données patients'!D31</f>
        <v>-1</v>
      </c>
      <c r="H3" s="88">
        <f>-'Données patients'!E31</f>
        <v>0</v>
      </c>
      <c r="I3" s="89">
        <f>'Données patients'!F31</f>
        <v>0</v>
      </c>
      <c r="J3" s="90">
        <f>'Données patients'!G31</f>
        <v>0</v>
      </c>
      <c r="K3" s="88">
        <f>'Données patients'!H31</f>
        <v>0</v>
      </c>
      <c r="L3" s="89" t="e">
        <f>'Données patients'!#REF!</f>
        <v>#REF!</v>
      </c>
    </row>
    <row r="4" spans="1:12" x14ac:dyDescent="0.25">
      <c r="A4" s="82">
        <f>-'Données patients'!C14</f>
        <v>-2</v>
      </c>
      <c r="B4" s="80"/>
      <c r="C4" s="80"/>
      <c r="E4" s="114" t="str">
        <f>'Données patients'!B32</f>
        <v>[15 - 19 ans]</v>
      </c>
      <c r="F4" s="78">
        <f>-'Données patients'!C32</f>
        <v>-2</v>
      </c>
      <c r="G4" s="95">
        <f>-'Données patients'!D32</f>
        <v>0</v>
      </c>
      <c r="H4" s="94">
        <f>-'Données patients'!E32</f>
        <v>0</v>
      </c>
      <c r="I4" s="78">
        <f>'Données patients'!F32</f>
        <v>2</v>
      </c>
      <c r="J4" s="95">
        <f>'Données patients'!G32</f>
        <v>1</v>
      </c>
      <c r="K4" s="94">
        <f>'Données patients'!H32</f>
        <v>0</v>
      </c>
      <c r="L4" s="78" t="e">
        <f>'Données patients'!#REF!</f>
        <v>#REF!</v>
      </c>
    </row>
    <row r="5" spans="1:12" x14ac:dyDescent="0.25">
      <c r="A5" s="82">
        <f>-'Données patients'!C16</f>
        <v>-3</v>
      </c>
      <c r="B5" s="80"/>
      <c r="C5" s="80"/>
      <c r="E5" s="115" t="str">
        <f>'Données patients'!B33</f>
        <v>[20 - 29 ans]</v>
      </c>
      <c r="F5" s="100">
        <f>-'Données patients'!C33</f>
        <v>-1</v>
      </c>
      <c r="G5" s="101">
        <f>-'Données patients'!D33</f>
        <v>-1</v>
      </c>
      <c r="H5" s="99">
        <f>-'Données patients'!E33</f>
        <v>0</v>
      </c>
      <c r="I5" s="100">
        <f>'Données patients'!F33</f>
        <v>2</v>
      </c>
      <c r="J5" s="101">
        <f>'Données patients'!G33</f>
        <v>0</v>
      </c>
      <c r="K5" s="99">
        <f>'Données patients'!H33</f>
        <v>0</v>
      </c>
      <c r="L5" s="100" t="e">
        <f>'Données patients'!#REF!</f>
        <v>#REF!</v>
      </c>
    </row>
    <row r="6" spans="1:12" x14ac:dyDescent="0.25">
      <c r="A6" s="82">
        <f>-'Données patients'!C17</f>
        <v>-5</v>
      </c>
      <c r="B6" s="80"/>
      <c r="C6" s="80"/>
      <c r="E6" s="114" t="str">
        <f>'Données patients'!B34</f>
        <v>[30 - 39 ans]</v>
      </c>
      <c r="F6" s="78">
        <f>-'Données patients'!C34</f>
        <v>-1</v>
      </c>
      <c r="G6" s="95">
        <f>-'Données patients'!D34</f>
        <v>0</v>
      </c>
      <c r="H6" s="94">
        <f>-'Données patients'!E34</f>
        <v>0</v>
      </c>
      <c r="I6" s="78">
        <f>'Données patients'!F34</f>
        <v>2</v>
      </c>
      <c r="J6" s="95">
        <f>'Données patients'!G34</f>
        <v>1</v>
      </c>
      <c r="K6" s="94">
        <f>'Données patients'!H34</f>
        <v>0</v>
      </c>
      <c r="L6" s="78" t="e">
        <f>'Données patients'!#REF!</f>
        <v>#REF!</v>
      </c>
    </row>
    <row r="7" spans="1:12" x14ac:dyDescent="0.25">
      <c r="A7" s="82"/>
      <c r="B7" s="80"/>
      <c r="C7" s="80"/>
      <c r="E7" s="115" t="str">
        <f>'Données patients'!B35</f>
        <v>[50 - 59 ans]</v>
      </c>
      <c r="F7" s="100">
        <f>-'Données patients'!C35</f>
        <v>-3</v>
      </c>
      <c r="G7" s="101">
        <f>-'Données patients'!D35</f>
        <v>0</v>
      </c>
      <c r="H7" s="99">
        <f>-'Données patients'!E35</f>
        <v>0</v>
      </c>
      <c r="I7" s="100">
        <f>'Données patients'!F35</f>
        <v>1</v>
      </c>
      <c r="J7" s="101">
        <f>'Données patients'!G35</f>
        <v>1</v>
      </c>
      <c r="K7" s="99">
        <f>'Données patients'!H35</f>
        <v>0</v>
      </c>
      <c r="L7" s="100" t="e">
        <f>'Données patients'!#REF!</f>
        <v>#REF!</v>
      </c>
    </row>
    <row r="8" spans="1:12" x14ac:dyDescent="0.25">
      <c r="A8" s="82">
        <f>-'Données patients'!C18</f>
        <v>0</v>
      </c>
      <c r="B8" s="83"/>
      <c r="C8" s="83"/>
      <c r="E8" s="114" t="str">
        <f>'Données patients'!B36</f>
        <v>[60 - 69 ans]</v>
      </c>
      <c r="F8" s="78">
        <f>-'Données patients'!C36</f>
        <v>-4</v>
      </c>
      <c r="G8" s="95">
        <f>-'Données patients'!D36</f>
        <v>0</v>
      </c>
      <c r="H8" s="94">
        <f>-'Données patients'!E36</f>
        <v>-1</v>
      </c>
      <c r="I8" s="78">
        <f>'Données patients'!F36</f>
        <v>1</v>
      </c>
      <c r="J8" s="95">
        <f>'Données patients'!G36</f>
        <v>1</v>
      </c>
      <c r="K8" s="94">
        <f>'Données patients'!H36</f>
        <v>0</v>
      </c>
      <c r="L8" s="78" t="e">
        <f>'Données patients'!#REF!</f>
        <v>#REF!</v>
      </c>
    </row>
    <row r="9" spans="1:12" x14ac:dyDescent="0.25">
      <c r="A9" s="84"/>
      <c r="B9" s="83"/>
      <c r="C9" s="83"/>
      <c r="E9" s="115" t="str">
        <f>'Données patients'!B37</f>
        <v xml:space="preserve">[70 ans et +[ </v>
      </c>
      <c r="F9" s="100">
        <f>-'Données patients'!C37</f>
        <v>0</v>
      </c>
      <c r="G9" s="101">
        <f>-'Données patients'!D37</f>
        <v>0</v>
      </c>
      <c r="H9" s="99">
        <f>-'Données patients'!E37</f>
        <v>0</v>
      </c>
      <c r="I9" s="100">
        <f>'Données patients'!F37</f>
        <v>3</v>
      </c>
      <c r="J9" s="101">
        <f>'Données patients'!G37</f>
        <v>0</v>
      </c>
      <c r="K9" s="99">
        <f>'Données patients'!H37</f>
        <v>1</v>
      </c>
      <c r="L9" s="100" t="e">
        <f>'Données patients'!#REF!</f>
        <v>#REF!</v>
      </c>
    </row>
    <row r="10" spans="1:12" ht="15.75" thickBot="1" x14ac:dyDescent="0.3">
      <c r="A10" s="83"/>
      <c r="B10" s="83"/>
      <c r="C10" s="83"/>
      <c r="E10" s="116" t="str">
        <f>'Données patients'!B38</f>
        <v>Total</v>
      </c>
      <c r="F10" s="79">
        <f>'Données patients'!C38</f>
        <v>11</v>
      </c>
      <c r="G10" s="106">
        <f>'Données patients'!D38</f>
        <v>2</v>
      </c>
      <c r="H10" s="105">
        <f>'Données patients'!E38</f>
        <v>1</v>
      </c>
      <c r="I10" s="79">
        <f>'Données patients'!F38</f>
        <v>11</v>
      </c>
      <c r="J10" s="106">
        <f>'Données patients'!G38</f>
        <v>4</v>
      </c>
      <c r="K10" s="105">
        <f>'Données patients'!H38</f>
        <v>1</v>
      </c>
      <c r="L10" s="79" t="e">
        <f>'Données patients'!#REF!</f>
        <v>#REF!</v>
      </c>
    </row>
    <row r="11" spans="1:12" x14ac:dyDescent="0.25">
      <c r="A11" s="85">
        <f>'Données patients'!C11/'Données patients'!E11</f>
        <v>0.46666666666666667</v>
      </c>
      <c r="B11" s="85">
        <f>'Données patients'!D11/'Données patients'!E11</f>
        <v>0.53333333333333333</v>
      </c>
      <c r="C11" s="85">
        <f>A11+B11</f>
        <v>1</v>
      </c>
    </row>
    <row r="12" spans="1:12" x14ac:dyDescent="0.25">
      <c r="A12" s="86">
        <f>Feuil1!$C$11</f>
        <v>1</v>
      </c>
      <c r="B12" s="86">
        <f>Feuil1!$C$11</f>
        <v>1</v>
      </c>
      <c r="C12" s="86">
        <f>Feuil1!$C$11</f>
        <v>1</v>
      </c>
    </row>
  </sheetData>
  <mergeCells count="3">
    <mergeCell ref="F1:H1"/>
    <mergeCell ref="I1:K1"/>
    <mergeCell ref="L1:L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AB57"/>
  </sheetPr>
  <dimension ref="A1:R116"/>
  <sheetViews>
    <sheetView showGridLines="0" view="pageLayout" zoomScale="82" zoomScaleNormal="100" zoomScalePageLayoutView="82" workbookViewId="0">
      <selection sqref="A1:XFD1048576"/>
    </sheetView>
  </sheetViews>
  <sheetFormatPr baseColWidth="10" defaultColWidth="11.42578125" defaultRowHeight="15" x14ac:dyDescent="0.25"/>
  <cols>
    <col min="2" max="2" width="10.140625" customWidth="1"/>
    <col min="3" max="3" width="11.42578125" customWidth="1"/>
    <col min="5" max="5" width="12.42578125" customWidth="1"/>
    <col min="6" max="6" width="6.140625" customWidth="1"/>
    <col min="7" max="7" width="5.85546875" customWidth="1"/>
    <col min="8" max="8" width="5.7109375" customWidth="1"/>
    <col min="9" max="9" width="8.42578125" customWidth="1"/>
    <col min="10" max="10" width="8" customWidth="1"/>
  </cols>
  <sheetData>
    <row r="1" spans="1:18" ht="18.75" x14ac:dyDescent="0.25">
      <c r="A1" s="363" t="s">
        <v>170</v>
      </c>
      <c r="B1" s="363"/>
      <c r="C1" s="364">
        <f>Périmètre!B1</f>
        <v>0</v>
      </c>
      <c r="D1" s="364"/>
      <c r="E1" s="1"/>
      <c r="F1" s="1"/>
      <c r="G1" s="1"/>
      <c r="H1" s="1"/>
      <c r="I1" s="1"/>
      <c r="J1" s="1"/>
      <c r="K1" s="328" t="s">
        <v>139</v>
      </c>
      <c r="L1" s="328"/>
      <c r="M1" s="328"/>
      <c r="N1" s="328"/>
      <c r="O1" s="328"/>
      <c r="P1" s="328"/>
      <c r="Q1" s="328"/>
      <c r="R1" s="328"/>
    </row>
    <row r="2" spans="1:18" x14ac:dyDescent="0.25">
      <c r="A2" s="363" t="s">
        <v>173</v>
      </c>
      <c r="B2" s="363"/>
      <c r="C2" s="364">
        <f>Périmètre!B2</f>
        <v>0</v>
      </c>
      <c r="D2" s="364"/>
      <c r="E2" s="7"/>
      <c r="F2" s="7"/>
      <c r="G2" s="7"/>
      <c r="H2" s="7"/>
      <c r="I2" s="7"/>
      <c r="J2" s="7"/>
    </row>
    <row r="3" spans="1:18" x14ac:dyDescent="0.25">
      <c r="A3" s="363" t="s">
        <v>174</v>
      </c>
      <c r="B3" s="363"/>
      <c r="C3" s="365">
        <f>Périmètre!B4</f>
        <v>0</v>
      </c>
      <c r="D3" s="364"/>
      <c r="E3" s="18"/>
      <c r="F3" s="1"/>
      <c r="G3" s="1"/>
      <c r="H3" s="1"/>
      <c r="I3" s="1"/>
      <c r="J3" s="1"/>
    </row>
    <row r="4" spans="1:18" x14ac:dyDescent="0.25">
      <c r="A4" s="363" t="s">
        <v>172</v>
      </c>
      <c r="B4" s="363"/>
      <c r="C4" s="364">
        <f>Périmètre!B5</f>
        <v>0</v>
      </c>
      <c r="D4" s="364"/>
      <c r="E4" s="18"/>
      <c r="F4" s="1"/>
      <c r="G4" s="1"/>
      <c r="H4" s="1"/>
      <c r="I4" s="1"/>
      <c r="J4" s="1"/>
    </row>
    <row r="5" spans="1:18" ht="15" customHeight="1" x14ac:dyDescent="0.25">
      <c r="A5" s="2"/>
      <c r="B5" s="2"/>
      <c r="C5" s="2"/>
      <c r="D5" s="2"/>
      <c r="E5" s="4"/>
      <c r="F5" s="4"/>
      <c r="G5" s="4"/>
      <c r="H5" s="4"/>
      <c r="I5" s="4"/>
      <c r="J5" s="4"/>
    </row>
    <row r="6" spans="1:18" ht="15" customHeight="1" x14ac:dyDescent="0.25">
      <c r="A6" s="328" t="s">
        <v>114</v>
      </c>
      <c r="B6" s="328"/>
      <c r="C6" s="328"/>
      <c r="D6" s="328"/>
      <c r="E6" s="328"/>
      <c r="F6" s="328"/>
      <c r="G6" s="328"/>
      <c r="H6" s="328"/>
      <c r="I6" s="328"/>
      <c r="J6" s="328"/>
    </row>
    <row r="7" spans="1:18" ht="15.75" thickBot="1" x14ac:dyDescent="0.3">
      <c r="A7" s="2"/>
      <c r="B7" s="2"/>
      <c r="C7" s="2"/>
      <c r="D7" s="2"/>
      <c r="E7" s="2"/>
      <c r="F7" s="2"/>
      <c r="G7" s="2"/>
      <c r="H7" s="2"/>
      <c r="I7" s="2"/>
      <c r="J7" s="2"/>
    </row>
    <row r="8" spans="1:18" x14ac:dyDescent="0.25">
      <c r="A8" s="398" t="s">
        <v>115</v>
      </c>
      <c r="B8" s="399"/>
      <c r="C8" s="399"/>
      <c r="D8" s="399"/>
      <c r="E8" s="399"/>
      <c r="F8" s="366" t="s">
        <v>60</v>
      </c>
      <c r="G8" s="366"/>
      <c r="H8" s="366"/>
      <c r="I8" s="366" t="s">
        <v>116</v>
      </c>
      <c r="J8" s="367"/>
    </row>
    <row r="9" spans="1:18" ht="15.75" thickBot="1" x14ac:dyDescent="0.3">
      <c r="A9" s="400"/>
      <c r="B9" s="401"/>
      <c r="C9" s="401"/>
      <c r="D9" s="401"/>
      <c r="E9" s="401"/>
      <c r="F9" s="17" t="s">
        <v>101</v>
      </c>
      <c r="G9" s="17" t="s">
        <v>104</v>
      </c>
      <c r="H9" s="17" t="s">
        <v>61</v>
      </c>
      <c r="I9" s="17" t="s">
        <v>101</v>
      </c>
      <c r="J9" s="13" t="s">
        <v>104</v>
      </c>
    </row>
    <row r="10" spans="1:18" x14ac:dyDescent="0.25">
      <c r="A10" s="289" t="s">
        <v>117</v>
      </c>
      <c r="B10" s="368"/>
      <c r="C10" s="373" t="s">
        <v>118</v>
      </c>
      <c r="D10" s="373"/>
      <c r="E10" s="373"/>
      <c r="F10" s="21">
        <f>'Traçabilité et info patient'!AH70</f>
        <v>0</v>
      </c>
      <c r="G10" s="9">
        <f>'Traçabilité et info patient'!AI70</f>
        <v>0</v>
      </c>
      <c r="H10" s="9">
        <f>'Traçabilité et info patient'!AJ70</f>
        <v>0</v>
      </c>
      <c r="I10" s="10" t="e">
        <f>'Traçabilité et info patient'!AL70</f>
        <v>#DIV/0!</v>
      </c>
      <c r="J10" s="22" t="e">
        <f>'Traçabilité et info patient'!AM70</f>
        <v>#DIV/0!</v>
      </c>
    </row>
    <row r="11" spans="1:18" x14ac:dyDescent="0.25">
      <c r="A11" s="369"/>
      <c r="B11" s="370"/>
      <c r="C11" s="310" t="s">
        <v>119</v>
      </c>
      <c r="D11" s="310"/>
      <c r="E11" s="310"/>
      <c r="F11" s="27">
        <f>'Traçabilité et info patient'!AH71</f>
        <v>0</v>
      </c>
      <c r="G11" s="14">
        <f>'Traçabilité et info patient'!AI71</f>
        <v>0</v>
      </c>
      <c r="H11" s="14">
        <f>'Traçabilité et info patient'!AJ71</f>
        <v>0</v>
      </c>
      <c r="I11" s="15" t="e">
        <f>'Traçabilité et info patient'!AL71</f>
        <v>#DIV/0!</v>
      </c>
      <c r="J11" s="28" t="e">
        <f>'Traçabilité et info patient'!AM71</f>
        <v>#DIV/0!</v>
      </c>
    </row>
    <row r="12" spans="1:18" ht="30" customHeight="1" x14ac:dyDescent="0.25">
      <c r="A12" s="369"/>
      <c r="B12" s="370"/>
      <c r="C12" s="339" t="s">
        <v>120</v>
      </c>
      <c r="D12" s="340"/>
      <c r="E12" s="341"/>
      <c r="F12" s="23">
        <f>'Traçabilité et info patient'!AH72</f>
        <v>0</v>
      </c>
      <c r="G12" s="5">
        <f>'Traçabilité et info patient'!AI72</f>
        <v>0</v>
      </c>
      <c r="H12" s="5">
        <f>'Traçabilité et info patient'!AJ72</f>
        <v>0</v>
      </c>
      <c r="I12" s="6" t="e">
        <f>'Traçabilité et info patient'!AL72</f>
        <v>#DIV/0!</v>
      </c>
      <c r="J12" s="24" t="e">
        <f>'Traçabilité et info patient'!AM72</f>
        <v>#DIV/0!</v>
      </c>
    </row>
    <row r="13" spans="1:18" ht="24" customHeight="1" x14ac:dyDescent="0.25">
      <c r="A13" s="369"/>
      <c r="B13" s="370"/>
      <c r="C13" s="310" t="s">
        <v>121</v>
      </c>
      <c r="D13" s="310"/>
      <c r="E13" s="310"/>
      <c r="F13" s="27">
        <f>'Traçabilité et info patient'!AH73</f>
        <v>0</v>
      </c>
      <c r="G13" s="14">
        <f>'Traçabilité et info patient'!AI73</f>
        <v>0</v>
      </c>
      <c r="H13" s="14">
        <f>'Traçabilité et info patient'!AJ73</f>
        <v>0</v>
      </c>
      <c r="I13" s="15" t="e">
        <f>'Traçabilité et info patient'!AL73</f>
        <v>#DIV/0!</v>
      </c>
      <c r="J13" s="28" t="e">
        <f>'Traçabilité et info patient'!AM73</f>
        <v>#DIV/0!</v>
      </c>
      <c r="K13" s="292" t="s">
        <v>140</v>
      </c>
      <c r="L13" s="292"/>
      <c r="M13" s="292"/>
      <c r="N13" s="292"/>
      <c r="O13" s="292"/>
      <c r="P13" s="292"/>
      <c r="Q13" s="292"/>
      <c r="R13" s="292"/>
    </row>
    <row r="14" spans="1:18" ht="30" customHeight="1" x14ac:dyDescent="0.25">
      <c r="A14" s="369"/>
      <c r="B14" s="370"/>
      <c r="C14" s="331" t="s">
        <v>122</v>
      </c>
      <c r="D14" s="331"/>
      <c r="E14" s="331"/>
      <c r="F14" s="23">
        <f>'Traçabilité et info patient'!AH74</f>
        <v>0</v>
      </c>
      <c r="G14" s="5">
        <f>'Traçabilité et info patient'!AI74</f>
        <v>0</v>
      </c>
      <c r="H14" s="5">
        <f>'Traçabilité et info patient'!AJ74</f>
        <v>0</v>
      </c>
      <c r="I14" s="6" t="e">
        <f>'Traçabilité et info patient'!AL74</f>
        <v>#DIV/0!</v>
      </c>
      <c r="J14" s="24" t="e">
        <f>'Traçabilité et info patient'!AM74</f>
        <v>#DIV/0!</v>
      </c>
    </row>
    <row r="15" spans="1:18" ht="28.5" customHeight="1" x14ac:dyDescent="0.25">
      <c r="A15" s="369"/>
      <c r="B15" s="370"/>
      <c r="C15" s="310" t="s">
        <v>123</v>
      </c>
      <c r="D15" s="310"/>
      <c r="E15" s="310"/>
      <c r="F15" s="27">
        <f>'Traçabilité et info patient'!AH75</f>
        <v>0</v>
      </c>
      <c r="G15" s="14">
        <f>'Traçabilité et info patient'!AI75</f>
        <v>0</v>
      </c>
      <c r="H15" s="14">
        <f>'Traçabilité et info patient'!AJ75</f>
        <v>0</v>
      </c>
      <c r="I15" s="15" t="e">
        <f>'Traçabilité et info patient'!AL75</f>
        <v>#DIV/0!</v>
      </c>
      <c r="J15" s="28" t="e">
        <f>'Traçabilité et info patient'!AM75</f>
        <v>#DIV/0!</v>
      </c>
    </row>
    <row r="16" spans="1:18" ht="28.5" customHeight="1" x14ac:dyDescent="0.25">
      <c r="A16" s="369"/>
      <c r="B16" s="370"/>
      <c r="C16" s="339" t="s">
        <v>124</v>
      </c>
      <c r="D16" s="340"/>
      <c r="E16" s="341"/>
      <c r="F16" s="23">
        <f>'Traçabilité et info patient'!AH76</f>
        <v>0</v>
      </c>
      <c r="G16" s="5">
        <f>'Traçabilité et info patient'!AI76</f>
        <v>0</v>
      </c>
      <c r="H16" s="5">
        <f>'Traçabilité et info patient'!AJ76</f>
        <v>0</v>
      </c>
      <c r="I16" s="6" t="e">
        <f>'Traçabilité et info patient'!AL76</f>
        <v>#DIV/0!</v>
      </c>
      <c r="J16" s="24" t="e">
        <f>'Traçabilité et info patient'!AM76</f>
        <v>#DIV/0!</v>
      </c>
    </row>
    <row r="17" spans="1:18" ht="30" customHeight="1" x14ac:dyDescent="0.25">
      <c r="A17" s="369"/>
      <c r="B17" s="370"/>
      <c r="C17" s="310" t="s">
        <v>125</v>
      </c>
      <c r="D17" s="310"/>
      <c r="E17" s="310"/>
      <c r="F17" s="27">
        <f>'Traçabilité et info patient'!AH77</f>
        <v>0</v>
      </c>
      <c r="G17" s="14">
        <f>'Traçabilité et info patient'!AI77</f>
        <v>0</v>
      </c>
      <c r="H17" s="14">
        <f>'Traçabilité et info patient'!AJ77</f>
        <v>0</v>
      </c>
      <c r="I17" s="15" t="e">
        <f>'Traçabilité et info patient'!AL77</f>
        <v>#DIV/0!</v>
      </c>
      <c r="J17" s="28" t="e">
        <f>'Traçabilité et info patient'!AM77</f>
        <v>#DIV/0!</v>
      </c>
    </row>
    <row r="18" spans="1:18" ht="15" customHeight="1" thickBot="1" x14ac:dyDescent="0.3">
      <c r="A18" s="371"/>
      <c r="B18" s="372"/>
      <c r="C18" s="346" t="s">
        <v>126</v>
      </c>
      <c r="D18" s="346"/>
      <c r="E18" s="346"/>
      <c r="F18" s="25">
        <f>'Traçabilité et info patient'!AH78</f>
        <v>0</v>
      </c>
      <c r="G18" s="11">
        <f>'Traçabilité et info patient'!AI78</f>
        <v>0</v>
      </c>
      <c r="H18" s="11">
        <f>'Traçabilité et info patient'!AJ78</f>
        <v>0</v>
      </c>
      <c r="I18" s="12" t="e">
        <f>'Traçabilité et info patient'!AL78</f>
        <v>#DIV/0!</v>
      </c>
      <c r="J18" s="26" t="e">
        <f>'Traçabilité et info patient'!AM78</f>
        <v>#DIV/0!</v>
      </c>
    </row>
    <row r="19" spans="1:18" x14ac:dyDescent="0.25">
      <c r="A19" s="378" t="s">
        <v>78</v>
      </c>
      <c r="B19" s="379"/>
      <c r="C19" s="388" t="s">
        <v>127</v>
      </c>
      <c r="D19" s="388"/>
      <c r="E19" s="388"/>
      <c r="F19" s="29">
        <f>'Traçabilité et info patient'!AH79</f>
        <v>0</v>
      </c>
      <c r="G19" s="16">
        <f>'Traçabilité et info patient'!AI79</f>
        <v>0</v>
      </c>
      <c r="H19" s="16">
        <f>'Traçabilité et info patient'!AJ79</f>
        <v>0</v>
      </c>
      <c r="I19" s="30" t="e">
        <f>'Traçabilité et info patient'!AL79</f>
        <v>#DIV/0!</v>
      </c>
      <c r="J19" s="31" t="e">
        <f>'Traçabilité et info patient'!AM79</f>
        <v>#DIV/0!</v>
      </c>
    </row>
    <row r="20" spans="1:18" ht="15" customHeight="1" x14ac:dyDescent="0.25">
      <c r="A20" s="380"/>
      <c r="B20" s="381"/>
      <c r="C20" s="339" t="s">
        <v>128</v>
      </c>
      <c r="D20" s="340"/>
      <c r="E20" s="341"/>
      <c r="F20" s="23">
        <f>'Traçabilité et info patient'!AH80</f>
        <v>0</v>
      </c>
      <c r="G20" s="5">
        <f>'Traçabilité et info patient'!AI80</f>
        <v>0</v>
      </c>
      <c r="H20" s="5">
        <f>'Traçabilité et info patient'!AJ80</f>
        <v>0</v>
      </c>
      <c r="I20" s="6" t="e">
        <f>'Traçabilité et info patient'!AL80</f>
        <v>#DIV/0!</v>
      </c>
      <c r="J20" s="24" t="e">
        <f>'Traçabilité et info patient'!AM80</f>
        <v>#DIV/0!</v>
      </c>
    </row>
    <row r="21" spans="1:18" ht="30" customHeight="1" x14ac:dyDescent="0.25">
      <c r="A21" s="382"/>
      <c r="B21" s="383"/>
      <c r="C21" s="310" t="s">
        <v>129</v>
      </c>
      <c r="D21" s="310"/>
      <c r="E21" s="310"/>
      <c r="F21" s="27">
        <f>'Traçabilité et info patient'!AH81</f>
        <v>0</v>
      </c>
      <c r="G21" s="14">
        <f>'Traçabilité et info patient'!AI81</f>
        <v>0</v>
      </c>
      <c r="H21" s="14">
        <f>'Traçabilité et info patient'!AJ81</f>
        <v>0</v>
      </c>
      <c r="I21" s="15" t="e">
        <f>'Traçabilité et info patient'!AL81</f>
        <v>#DIV/0!</v>
      </c>
      <c r="J21" s="28" t="e">
        <f>'Traçabilité et info patient'!AM81</f>
        <v>#DIV/0!</v>
      </c>
    </row>
    <row r="22" spans="1:18" ht="30" customHeight="1" x14ac:dyDescent="0.25">
      <c r="A22" s="382"/>
      <c r="B22" s="383"/>
      <c r="C22" s="331" t="s">
        <v>130</v>
      </c>
      <c r="D22" s="331"/>
      <c r="E22" s="331"/>
      <c r="F22" s="23">
        <f>'Traçabilité et info patient'!AH82</f>
        <v>0</v>
      </c>
      <c r="G22" s="5">
        <f>'Traçabilité et info patient'!AI82</f>
        <v>0</v>
      </c>
      <c r="H22" s="5">
        <f>'Traçabilité et info patient'!AJ82</f>
        <v>0</v>
      </c>
      <c r="I22" s="6" t="e">
        <f>'Traçabilité et info patient'!AL82</f>
        <v>#DIV/0!</v>
      </c>
      <c r="J22" s="24" t="e">
        <f>'Traçabilité et info patient'!AM82</f>
        <v>#DIV/0!</v>
      </c>
    </row>
    <row r="23" spans="1:18" ht="30" customHeight="1" x14ac:dyDescent="0.25">
      <c r="A23" s="384"/>
      <c r="B23" s="385"/>
      <c r="C23" s="389" t="s">
        <v>131</v>
      </c>
      <c r="D23" s="390"/>
      <c r="E23" s="391"/>
      <c r="F23" s="27">
        <f>'Traçabilité et info patient'!AH83</f>
        <v>0</v>
      </c>
      <c r="G23" s="14">
        <f>'Traçabilité et info patient'!AI83</f>
        <v>0</v>
      </c>
      <c r="H23" s="14">
        <f>'Traçabilité et info patient'!AJ83</f>
        <v>0</v>
      </c>
      <c r="I23" s="15" t="e">
        <f>'Traçabilité et info patient'!AL83</f>
        <v>#DIV/0!</v>
      </c>
      <c r="J23" s="28" t="e">
        <f>'Traçabilité et info patient'!AM83</f>
        <v>#DIV/0!</v>
      </c>
    </row>
    <row r="24" spans="1:18" ht="30" customHeight="1" thickBot="1" x14ac:dyDescent="0.3">
      <c r="A24" s="386"/>
      <c r="B24" s="387"/>
      <c r="C24" s="392" t="s">
        <v>132</v>
      </c>
      <c r="D24" s="393"/>
      <c r="E24" s="394"/>
      <c r="F24" s="25">
        <f>'Traçabilité et info patient'!AH84</f>
        <v>0</v>
      </c>
      <c r="G24" s="11">
        <f>'Traçabilité et info patient'!AI84</f>
        <v>0</v>
      </c>
      <c r="H24" s="11">
        <f>'Traçabilité et info patient'!AJ84</f>
        <v>0</v>
      </c>
      <c r="I24" s="12" t="e">
        <f>'Traçabilité et info patient'!AL84</f>
        <v>#DIV/0!</v>
      </c>
      <c r="J24" s="26" t="e">
        <f>'Traçabilité et info patient'!AM84</f>
        <v>#DIV/0!</v>
      </c>
      <c r="K24" s="292" t="s">
        <v>78</v>
      </c>
      <c r="L24" s="292"/>
      <c r="M24" s="292"/>
      <c r="N24" s="292"/>
      <c r="O24" s="292"/>
      <c r="P24" s="292"/>
      <c r="Q24" s="292"/>
      <c r="R24" s="292"/>
    </row>
    <row r="25" spans="1:18" x14ac:dyDescent="0.25">
      <c r="A25" s="350" t="s">
        <v>85</v>
      </c>
      <c r="B25" s="351"/>
      <c r="C25" s="356" t="s">
        <v>133</v>
      </c>
      <c r="D25" s="356"/>
      <c r="E25" s="356"/>
      <c r="F25" s="29">
        <f>'Traçabilité et info patient'!AH85</f>
        <v>0</v>
      </c>
      <c r="G25" s="16">
        <f>'Traçabilité et info patient'!AI85</f>
        <v>1</v>
      </c>
      <c r="H25" s="16">
        <f>'Traçabilité et info patient'!AJ85</f>
        <v>1</v>
      </c>
      <c r="I25" s="30">
        <f>'Traçabilité et info patient'!AL85</f>
        <v>0</v>
      </c>
      <c r="J25" s="31">
        <f>'Traçabilité et info patient'!AM85</f>
        <v>1</v>
      </c>
    </row>
    <row r="26" spans="1:18" x14ac:dyDescent="0.25">
      <c r="A26" s="352"/>
      <c r="B26" s="353"/>
      <c r="C26" s="331" t="s">
        <v>134</v>
      </c>
      <c r="D26" s="331"/>
      <c r="E26" s="331"/>
      <c r="F26" s="23">
        <f>'Traçabilité et info patient'!AH86</f>
        <v>0</v>
      </c>
      <c r="G26" s="5">
        <f>'Traçabilité et info patient'!AI86</f>
        <v>1</v>
      </c>
      <c r="H26" s="5">
        <f>'Traçabilité et info patient'!AJ86</f>
        <v>1</v>
      </c>
      <c r="I26" s="6">
        <f>'Traçabilité et info patient'!AL86</f>
        <v>0</v>
      </c>
      <c r="J26" s="24">
        <f>'Traçabilité et info patient'!AM86</f>
        <v>1</v>
      </c>
    </row>
    <row r="27" spans="1:18" ht="21.75" customHeight="1" x14ac:dyDescent="0.25">
      <c r="A27" s="352"/>
      <c r="B27" s="353"/>
      <c r="C27" s="310" t="s">
        <v>72</v>
      </c>
      <c r="D27" s="310"/>
      <c r="E27" s="310"/>
      <c r="F27" s="27">
        <f>'Traçabilité et info patient'!AH87</f>
        <v>0</v>
      </c>
      <c r="G27" s="14">
        <f>'Traçabilité et info patient'!AI87</f>
        <v>1</v>
      </c>
      <c r="H27" s="14">
        <f>'Traçabilité et info patient'!AJ87</f>
        <v>1</v>
      </c>
      <c r="I27" s="15">
        <f>'Traçabilité et info patient'!AL87</f>
        <v>0</v>
      </c>
      <c r="J27" s="28">
        <f>'Traçabilité et info patient'!AM87</f>
        <v>1</v>
      </c>
    </row>
    <row r="28" spans="1:18" ht="30" customHeight="1" x14ac:dyDescent="0.25">
      <c r="A28" s="352"/>
      <c r="B28" s="353"/>
      <c r="C28" s="331" t="s">
        <v>73</v>
      </c>
      <c r="D28" s="331"/>
      <c r="E28" s="331"/>
      <c r="F28" s="23">
        <f>'Traçabilité et info patient'!AH88</f>
        <v>1</v>
      </c>
      <c r="G28" s="5">
        <f>'Traçabilité et info patient'!AI88</f>
        <v>0</v>
      </c>
      <c r="H28" s="5">
        <f>'Traçabilité et info patient'!AJ88</f>
        <v>1</v>
      </c>
      <c r="I28" s="6">
        <f>'Traçabilité et info patient'!AL88</f>
        <v>1</v>
      </c>
      <c r="J28" s="24">
        <f>'Traçabilité et info patient'!AM88</f>
        <v>0</v>
      </c>
    </row>
    <row r="29" spans="1:18" x14ac:dyDescent="0.25">
      <c r="A29" s="352"/>
      <c r="B29" s="353"/>
      <c r="C29" s="310" t="s">
        <v>86</v>
      </c>
      <c r="D29" s="310"/>
      <c r="E29" s="310"/>
      <c r="F29" s="27">
        <f>'Traçabilité et info patient'!AH89</f>
        <v>0</v>
      </c>
      <c r="G29" s="14">
        <f>'Traçabilité et info patient'!AI89</f>
        <v>0</v>
      </c>
      <c r="H29" s="14">
        <f>'Traçabilité et info patient'!AJ89</f>
        <v>0</v>
      </c>
      <c r="I29" s="15" t="e">
        <f>'Traçabilité et info patient'!AL89</f>
        <v>#DIV/0!</v>
      </c>
      <c r="J29" s="28" t="e">
        <f>'Traçabilité et info patient'!AM89</f>
        <v>#DIV/0!</v>
      </c>
    </row>
    <row r="30" spans="1:18" ht="30" customHeight="1" x14ac:dyDescent="0.25">
      <c r="A30" s="352"/>
      <c r="B30" s="353"/>
      <c r="C30" s="339" t="s">
        <v>83</v>
      </c>
      <c r="D30" s="340"/>
      <c r="E30" s="341"/>
      <c r="F30" s="23">
        <f>'Traçabilité et info patient'!AH90</f>
        <v>0</v>
      </c>
      <c r="G30" s="5">
        <f>'Traçabilité et info patient'!AI90</f>
        <v>0</v>
      </c>
      <c r="H30" s="5">
        <f>'Traçabilité et info patient'!AJ90</f>
        <v>0</v>
      </c>
      <c r="I30" s="6" t="e">
        <f>'Traçabilité et info patient'!AL90</f>
        <v>#DIV/0!</v>
      </c>
      <c r="J30" s="24" t="e">
        <f>'Traçabilité et info patient'!AM90</f>
        <v>#DIV/0!</v>
      </c>
    </row>
    <row r="31" spans="1:18" ht="30" customHeight="1" x14ac:dyDescent="0.25">
      <c r="A31" s="352"/>
      <c r="B31" s="353"/>
      <c r="C31" s="342" t="s">
        <v>87</v>
      </c>
      <c r="D31" s="343"/>
      <c r="E31" s="344"/>
      <c r="F31" s="27">
        <f>'Traçabilité et info patient'!AH91</f>
        <v>0</v>
      </c>
      <c r="G31" s="14">
        <f>'Traçabilité et info patient'!AI91</f>
        <v>0</v>
      </c>
      <c r="H31" s="14">
        <f>'Traçabilité et info patient'!AJ91</f>
        <v>0</v>
      </c>
      <c r="I31" s="15" t="e">
        <f>'Traçabilité et info patient'!AL91</f>
        <v>#DIV/0!</v>
      </c>
      <c r="J31" s="28" t="e">
        <f>'Traçabilité et info patient'!AM91</f>
        <v>#DIV/0!</v>
      </c>
    </row>
    <row r="32" spans="1:18" ht="45" customHeight="1" x14ac:dyDescent="0.25">
      <c r="A32" s="352"/>
      <c r="B32" s="353"/>
      <c r="C32" s="339" t="s">
        <v>135</v>
      </c>
      <c r="D32" s="340"/>
      <c r="E32" s="341"/>
      <c r="F32" s="23">
        <f>'Traçabilité et info patient'!AH92</f>
        <v>0</v>
      </c>
      <c r="G32" s="5">
        <f>'Traçabilité et info patient'!AI92</f>
        <v>0</v>
      </c>
      <c r="H32" s="5">
        <f>'Traçabilité et info patient'!AJ92</f>
        <v>0</v>
      </c>
      <c r="I32" s="6" t="e">
        <f>'Traçabilité et info patient'!AL92</f>
        <v>#DIV/0!</v>
      </c>
      <c r="J32" s="24" t="e">
        <f>'Traçabilité et info patient'!AM92</f>
        <v>#DIV/0!</v>
      </c>
    </row>
    <row r="33" spans="1:18" ht="25.5" customHeight="1" thickBot="1" x14ac:dyDescent="0.3">
      <c r="A33" s="354"/>
      <c r="B33" s="355"/>
      <c r="C33" s="395" t="s">
        <v>136</v>
      </c>
      <c r="D33" s="396"/>
      <c r="E33" s="397"/>
      <c r="F33" s="32">
        <f>'Traçabilité et info patient'!AH93</f>
        <v>15</v>
      </c>
      <c r="G33" s="17">
        <f>'Traçabilité et info patient'!AI93</f>
        <v>15</v>
      </c>
      <c r="H33" s="17">
        <f>'Traçabilité et info patient'!AJ93</f>
        <v>30</v>
      </c>
      <c r="I33" s="33">
        <f>'Traçabilité et info patient'!AL93</f>
        <v>0.5</v>
      </c>
      <c r="J33" s="34">
        <f>'Traçabilité et info patient'!AM93</f>
        <v>0.5</v>
      </c>
    </row>
    <row r="34" spans="1:18" ht="25.5" customHeight="1" thickBot="1" x14ac:dyDescent="0.3">
      <c r="K34" s="292" t="s">
        <v>85</v>
      </c>
      <c r="L34" s="292"/>
      <c r="M34" s="292"/>
      <c r="N34" s="292"/>
      <c r="O34" s="292"/>
      <c r="P34" s="292"/>
      <c r="Q34" s="292"/>
      <c r="R34" s="292"/>
    </row>
    <row r="35" spans="1:18" ht="15" customHeight="1" x14ac:dyDescent="0.25">
      <c r="A35" s="357" t="s">
        <v>115</v>
      </c>
      <c r="B35" s="358"/>
      <c r="C35" s="358"/>
      <c r="D35" s="358"/>
      <c r="E35" s="359"/>
      <c r="F35" s="374" t="s">
        <v>60</v>
      </c>
      <c r="G35" s="376"/>
      <c r="H35" s="377"/>
      <c r="I35" s="374" t="s">
        <v>116</v>
      </c>
      <c r="J35" s="375"/>
    </row>
    <row r="36" spans="1:18" ht="15" customHeight="1" thickBot="1" x14ac:dyDescent="0.3">
      <c r="A36" s="360"/>
      <c r="B36" s="361"/>
      <c r="C36" s="361"/>
      <c r="D36" s="361"/>
      <c r="E36" s="362"/>
      <c r="F36" s="17" t="s">
        <v>101</v>
      </c>
      <c r="G36" s="17" t="s">
        <v>104</v>
      </c>
      <c r="H36" s="17" t="s">
        <v>61</v>
      </c>
      <c r="I36" s="17" t="s">
        <v>101</v>
      </c>
      <c r="J36" s="13" t="s">
        <v>104</v>
      </c>
    </row>
    <row r="37" spans="1:18" ht="25.5" customHeight="1" x14ac:dyDescent="0.25">
      <c r="A37" s="350" t="s">
        <v>89</v>
      </c>
      <c r="B37" s="351"/>
      <c r="C37" s="347" t="s">
        <v>90</v>
      </c>
      <c r="D37" s="348"/>
      <c r="E37" s="349"/>
      <c r="F37" s="21">
        <f>'Traçabilité et info patient'!AH94</f>
        <v>15</v>
      </c>
      <c r="G37" s="9">
        <f>'Traçabilité et info patient'!AI94</f>
        <v>15</v>
      </c>
      <c r="H37" s="9">
        <f>'Traçabilité et info patient'!AJ94</f>
        <v>30</v>
      </c>
      <c r="I37" s="10">
        <f>'Traçabilité et info patient'!AL94</f>
        <v>0.5</v>
      </c>
      <c r="J37" s="22">
        <f>'Traçabilité et info patient'!AM94</f>
        <v>0.5</v>
      </c>
    </row>
    <row r="38" spans="1:18" ht="25.5" customHeight="1" x14ac:dyDescent="0.25">
      <c r="A38" s="352"/>
      <c r="B38" s="353"/>
      <c r="C38" s="342" t="s">
        <v>137</v>
      </c>
      <c r="D38" s="343"/>
      <c r="E38" s="344"/>
      <c r="F38" s="27">
        <f>'Traçabilité et info patient'!AH95</f>
        <v>15</v>
      </c>
      <c r="G38" s="14">
        <f>'Traçabilité et info patient'!AI95</f>
        <v>15</v>
      </c>
      <c r="H38" s="14">
        <f>'Traçabilité et info patient'!AJ95</f>
        <v>30</v>
      </c>
      <c r="I38" s="15">
        <f>'Traçabilité et info patient'!AL95</f>
        <v>0.5</v>
      </c>
      <c r="J38" s="28">
        <f>'Traçabilité et info patient'!AM95</f>
        <v>0.5</v>
      </c>
    </row>
    <row r="39" spans="1:18" ht="25.5" customHeight="1" thickBot="1" x14ac:dyDescent="0.3">
      <c r="A39" s="354"/>
      <c r="B39" s="355"/>
      <c r="C39" s="339" t="s">
        <v>138</v>
      </c>
      <c r="D39" s="340"/>
      <c r="E39" s="341"/>
      <c r="F39" s="25">
        <f>'Traçabilité et info patient'!AH96</f>
        <v>0</v>
      </c>
      <c r="G39" s="11">
        <f>'Traçabilité et info patient'!AI96</f>
        <v>0</v>
      </c>
      <c r="H39" s="11">
        <f>'Traçabilité et info patient'!AJ96</f>
        <v>0</v>
      </c>
      <c r="I39" s="12" t="e">
        <f>'Traçabilité et info patient'!AL96</f>
        <v>#DIV/0!</v>
      </c>
      <c r="J39" s="26" t="e">
        <f>'Traçabilité et info patient'!AM96</f>
        <v>#DIV/0!</v>
      </c>
    </row>
    <row r="40" spans="1:18" ht="26.25" customHeight="1" x14ac:dyDescent="0.25">
      <c r="A40" s="266" t="s">
        <v>91</v>
      </c>
      <c r="B40" s="332"/>
      <c r="C40" s="336" t="s">
        <v>92</v>
      </c>
      <c r="D40" s="337"/>
      <c r="E40" s="338"/>
      <c r="F40" s="16">
        <f>'Traçabilité et info patient'!AH97</f>
        <v>0</v>
      </c>
      <c r="G40" s="16">
        <f>'Traçabilité et info patient'!AI97</f>
        <v>0</v>
      </c>
      <c r="H40" s="16">
        <f>'Traçabilité et info patient'!AJ97</f>
        <v>0</v>
      </c>
      <c r="I40" s="30" t="e">
        <f>'Traçabilité et info patient'!AL97</f>
        <v>#DIV/0!</v>
      </c>
      <c r="J40" s="31" t="e">
        <f>'Traçabilité et info patient'!AM97</f>
        <v>#DIV/0!</v>
      </c>
    </row>
    <row r="41" spans="1:18" ht="26.25" customHeight="1" x14ac:dyDescent="0.25">
      <c r="A41" s="333"/>
      <c r="B41" s="334"/>
      <c r="C41" s="339" t="s">
        <v>93</v>
      </c>
      <c r="D41" s="340"/>
      <c r="E41" s="341"/>
      <c r="F41" s="14">
        <f>'Traçabilité et info patient'!AH98</f>
        <v>0</v>
      </c>
      <c r="G41" s="14">
        <f>'Traçabilité et info patient'!AI98</f>
        <v>0</v>
      </c>
      <c r="H41" s="14">
        <f>'Traçabilité et info patient'!AJ98</f>
        <v>0</v>
      </c>
      <c r="I41" s="15" t="e">
        <f>'Traçabilité et info patient'!AL98</f>
        <v>#DIV/0!</v>
      </c>
      <c r="J41" s="28" t="e">
        <f>'Traçabilité et info patient'!AM98</f>
        <v>#DIV/0!</v>
      </c>
    </row>
    <row r="42" spans="1:18" ht="26.25" customHeight="1" x14ac:dyDescent="0.25">
      <c r="A42" s="333"/>
      <c r="B42" s="334"/>
      <c r="C42" s="342" t="s">
        <v>94</v>
      </c>
      <c r="D42" s="343"/>
      <c r="E42" s="344"/>
      <c r="F42" s="14">
        <f>'Traçabilité et info patient'!AH99</f>
        <v>0</v>
      </c>
      <c r="G42" s="14">
        <f>'Traçabilité et info patient'!AI99</f>
        <v>0</v>
      </c>
      <c r="H42" s="14">
        <f>'Traçabilité et info patient'!AJ99</f>
        <v>0</v>
      </c>
      <c r="I42" s="15" t="e">
        <f>'Traçabilité et info patient'!AL99</f>
        <v>#DIV/0!</v>
      </c>
      <c r="J42" s="28" t="e">
        <f>'Traçabilité et info patient'!AM99</f>
        <v>#DIV/0!</v>
      </c>
    </row>
    <row r="43" spans="1:18" ht="26.25" customHeight="1" x14ac:dyDescent="0.25">
      <c r="A43" s="333"/>
      <c r="B43" s="334"/>
      <c r="C43" s="331" t="s">
        <v>95</v>
      </c>
      <c r="D43" s="331"/>
      <c r="E43" s="331"/>
      <c r="F43" s="14">
        <f>'Traçabilité et info patient'!AH100</f>
        <v>16</v>
      </c>
      <c r="G43" s="14">
        <f>'Traçabilité et info patient'!AI100</f>
        <v>18</v>
      </c>
      <c r="H43" s="14">
        <f>'Traçabilité et info patient'!AJ100</f>
        <v>34</v>
      </c>
      <c r="I43" s="15">
        <f>'Traçabilité et info patient'!AL100</f>
        <v>0.47058823529411764</v>
      </c>
      <c r="J43" s="28">
        <f>'Traçabilité et info patient'!AM100</f>
        <v>0.52941176470588236</v>
      </c>
    </row>
    <row r="44" spans="1:18" ht="26.25" customHeight="1" x14ac:dyDescent="0.25">
      <c r="A44" s="333"/>
      <c r="B44" s="334"/>
      <c r="C44" s="345" t="s">
        <v>96</v>
      </c>
      <c r="D44" s="345"/>
      <c r="E44" s="345"/>
      <c r="F44" s="35" t="str">
        <f>'Traçabilité et info patient'!AH101</f>
        <v>-</v>
      </c>
      <c r="G44" s="35" t="str">
        <f>'Traçabilité et info patient'!AI101</f>
        <v>-</v>
      </c>
      <c r="H44" s="35" t="str">
        <f>'Traçabilité et info patient'!AJ101</f>
        <v>-</v>
      </c>
      <c r="I44" s="36">
        <f>'Traçabilité et info patient'!AL101</f>
        <v>5.5555555555555573E-2</v>
      </c>
      <c r="J44" s="37">
        <f>'Traçabilité et info patient'!AM101</f>
        <v>0.94444444444444442</v>
      </c>
    </row>
    <row r="45" spans="1:18" ht="26.25" customHeight="1" thickBot="1" x14ac:dyDescent="0.3">
      <c r="A45" s="268"/>
      <c r="B45" s="335"/>
      <c r="C45" s="346" t="s">
        <v>98</v>
      </c>
      <c r="D45" s="346"/>
      <c r="E45" s="346"/>
      <c r="F45" s="17">
        <f>'Traçabilité et info patient'!AH102</f>
        <v>31</v>
      </c>
      <c r="G45" s="17">
        <f>'Traçabilité et info patient'!AI102</f>
        <v>33</v>
      </c>
      <c r="H45" s="17">
        <f>'Traçabilité et info patient'!AJ102</f>
        <v>64</v>
      </c>
      <c r="I45" s="33">
        <f>'Traçabilité et info patient'!AL102</f>
        <v>4.1333333333333333E-2</v>
      </c>
      <c r="J45" s="34">
        <f>'Traçabilité et info patient'!AM102</f>
        <v>0.95866666666666667</v>
      </c>
    </row>
    <row r="46" spans="1:18" ht="15" customHeight="1" x14ac:dyDescent="0.25"/>
    <row r="47" spans="1:18" ht="14.25" customHeight="1" x14ac:dyDescent="0.25">
      <c r="A47" s="329"/>
      <c r="B47" s="329"/>
      <c r="C47" s="329"/>
      <c r="D47" s="329"/>
      <c r="E47" s="329"/>
      <c r="F47" s="329"/>
      <c r="G47" s="329"/>
      <c r="H47" s="329"/>
      <c r="I47" s="329"/>
      <c r="J47" s="329"/>
    </row>
    <row r="48" spans="1:18" x14ac:dyDescent="0.25">
      <c r="A48" s="329"/>
      <c r="B48" s="329"/>
      <c r="C48" s="329"/>
      <c r="D48" s="329"/>
      <c r="E48" s="329"/>
      <c r="F48" s="329"/>
      <c r="G48" s="329"/>
      <c r="H48" s="329"/>
      <c r="I48" s="329"/>
      <c r="J48" s="329"/>
    </row>
    <row r="49" spans="1:10" x14ac:dyDescent="0.25">
      <c r="A49" s="329"/>
      <c r="B49" s="329"/>
      <c r="C49" s="329"/>
      <c r="D49" s="329"/>
      <c r="E49" s="329"/>
      <c r="F49" s="329"/>
      <c r="G49" s="329"/>
      <c r="H49" s="329"/>
      <c r="I49" s="329"/>
      <c r="J49" s="329"/>
    </row>
    <row r="50" spans="1:10" x14ac:dyDescent="0.25">
      <c r="A50" s="329"/>
      <c r="B50" s="329"/>
      <c r="C50" s="329"/>
      <c r="D50" s="329"/>
      <c r="E50" s="329"/>
      <c r="F50" s="329"/>
      <c r="G50" s="329"/>
      <c r="H50" s="329"/>
      <c r="I50" s="329"/>
      <c r="J50" s="329"/>
    </row>
    <row r="51" spans="1:10" ht="18.75" customHeight="1" x14ac:dyDescent="0.25">
      <c r="A51" s="329"/>
      <c r="B51" s="329"/>
      <c r="C51" s="329"/>
      <c r="D51" s="329"/>
      <c r="E51" s="329"/>
      <c r="F51" s="329"/>
      <c r="G51" s="329"/>
      <c r="H51" s="329"/>
      <c r="I51" s="329"/>
      <c r="J51" s="329"/>
    </row>
    <row r="52" spans="1:10" x14ac:dyDescent="0.25">
      <c r="A52" s="329"/>
      <c r="B52" s="329"/>
      <c r="C52" s="329"/>
      <c r="D52" s="329"/>
      <c r="E52" s="329"/>
      <c r="F52" s="329"/>
      <c r="G52" s="329"/>
      <c r="H52" s="329"/>
      <c r="I52" s="329"/>
      <c r="J52" s="329"/>
    </row>
    <row r="53" spans="1:10" x14ac:dyDescent="0.25">
      <c r="A53" s="329"/>
      <c r="B53" s="329"/>
      <c r="C53" s="329"/>
      <c r="D53" s="329"/>
      <c r="E53" s="329"/>
      <c r="F53" s="329"/>
      <c r="G53" s="329"/>
      <c r="H53" s="329"/>
      <c r="I53" s="329"/>
      <c r="J53" s="329"/>
    </row>
    <row r="54" spans="1:10" x14ac:dyDescent="0.25">
      <c r="A54" s="329"/>
      <c r="B54" s="329"/>
      <c r="C54" s="329"/>
      <c r="D54" s="329"/>
      <c r="E54" s="329"/>
      <c r="F54" s="329"/>
      <c r="G54" s="329"/>
      <c r="H54" s="329"/>
      <c r="I54" s="329"/>
      <c r="J54" s="329"/>
    </row>
    <row r="55" spans="1:10" x14ac:dyDescent="0.25">
      <c r="A55" s="329"/>
      <c r="B55" s="329"/>
      <c r="C55" s="329"/>
      <c r="D55" s="329"/>
      <c r="E55" s="329"/>
      <c r="F55" s="329"/>
      <c r="G55" s="329"/>
      <c r="H55" s="329"/>
      <c r="I55" s="329"/>
      <c r="J55" s="329"/>
    </row>
    <row r="56" spans="1:10" x14ac:dyDescent="0.25">
      <c r="A56" s="329"/>
      <c r="B56" s="329"/>
      <c r="C56" s="329"/>
      <c r="D56" s="329"/>
      <c r="E56" s="329"/>
      <c r="F56" s="329"/>
      <c r="G56" s="329"/>
      <c r="H56" s="329"/>
      <c r="I56" s="329"/>
      <c r="J56" s="329"/>
    </row>
    <row r="57" spans="1:10" x14ac:dyDescent="0.25">
      <c r="A57" s="329"/>
      <c r="B57" s="329"/>
      <c r="C57" s="329"/>
      <c r="D57" s="329"/>
      <c r="E57" s="329"/>
      <c r="F57" s="329"/>
      <c r="G57" s="329"/>
      <c r="H57" s="329"/>
      <c r="I57" s="329"/>
      <c r="J57" s="329"/>
    </row>
    <row r="58" spans="1:10" x14ac:dyDescent="0.25">
      <c r="A58" s="329"/>
      <c r="B58" s="329"/>
      <c r="C58" s="329"/>
      <c r="D58" s="329"/>
      <c r="E58" s="329"/>
      <c r="F58" s="329"/>
      <c r="G58" s="329"/>
      <c r="H58" s="329"/>
      <c r="I58" s="329"/>
      <c r="J58" s="329"/>
    </row>
    <row r="59" spans="1:10" x14ac:dyDescent="0.25">
      <c r="A59" s="329"/>
      <c r="B59" s="329"/>
      <c r="C59" s="329"/>
      <c r="D59" s="329"/>
      <c r="E59" s="329"/>
      <c r="F59" s="329"/>
      <c r="G59" s="329"/>
      <c r="H59" s="329"/>
      <c r="I59" s="329"/>
      <c r="J59" s="329"/>
    </row>
    <row r="60" spans="1:10" x14ac:dyDescent="0.25">
      <c r="A60" s="329"/>
      <c r="B60" s="329"/>
      <c r="C60" s="329"/>
      <c r="D60" s="329"/>
      <c r="E60" s="329"/>
      <c r="F60" s="329"/>
      <c r="G60" s="329"/>
      <c r="H60" s="329"/>
      <c r="I60" s="329"/>
      <c r="J60" s="329"/>
    </row>
    <row r="61" spans="1:10" x14ac:dyDescent="0.25">
      <c r="A61" s="329"/>
      <c r="B61" s="329"/>
      <c r="C61" s="329"/>
      <c r="D61" s="329"/>
      <c r="E61" s="329"/>
      <c r="F61" s="329"/>
      <c r="G61" s="329"/>
      <c r="H61" s="329"/>
      <c r="I61" s="329"/>
      <c r="J61" s="329"/>
    </row>
    <row r="62" spans="1:10" x14ac:dyDescent="0.25">
      <c r="A62" s="329"/>
      <c r="B62" s="329"/>
      <c r="C62" s="329"/>
      <c r="D62" s="329"/>
      <c r="E62" s="329"/>
      <c r="F62" s="329"/>
      <c r="G62" s="329"/>
      <c r="H62" s="329"/>
      <c r="I62" s="329"/>
      <c r="J62" s="329"/>
    </row>
    <row r="63" spans="1:10" x14ac:dyDescent="0.25">
      <c r="A63" s="329"/>
      <c r="B63" s="329"/>
      <c r="C63" s="329"/>
      <c r="D63" s="329"/>
      <c r="E63" s="329"/>
      <c r="F63" s="329"/>
      <c r="G63" s="329"/>
      <c r="H63" s="329"/>
      <c r="I63" s="329"/>
      <c r="J63" s="329"/>
    </row>
    <row r="64" spans="1:10" x14ac:dyDescent="0.25">
      <c r="A64" s="329"/>
      <c r="B64" s="329"/>
      <c r="C64" s="329"/>
      <c r="D64" s="329"/>
      <c r="E64" s="329"/>
      <c r="F64" s="329"/>
      <c r="G64" s="329"/>
      <c r="H64" s="329"/>
      <c r="I64" s="329"/>
      <c r="J64" s="329"/>
    </row>
    <row r="65" spans="1:10" x14ac:dyDescent="0.25">
      <c r="A65" s="329"/>
      <c r="B65" s="329"/>
      <c r="C65" s="329"/>
      <c r="D65" s="329"/>
      <c r="E65" s="329"/>
      <c r="F65" s="329"/>
      <c r="G65" s="329"/>
      <c r="H65" s="329"/>
      <c r="I65" s="329"/>
      <c r="J65" s="329"/>
    </row>
    <row r="66" spans="1:10" x14ac:dyDescent="0.25">
      <c r="A66" s="329"/>
      <c r="B66" s="329"/>
      <c r="C66" s="329"/>
      <c r="D66" s="329"/>
      <c r="E66" s="329"/>
      <c r="F66" s="329"/>
      <c r="G66" s="329"/>
      <c r="H66" s="329"/>
      <c r="I66" s="329"/>
      <c r="J66" s="329"/>
    </row>
    <row r="67" spans="1:10" x14ac:dyDescent="0.25">
      <c r="A67" s="330"/>
      <c r="B67" s="330"/>
      <c r="C67" s="330"/>
      <c r="D67" s="330"/>
      <c r="E67" s="330"/>
      <c r="F67" s="330"/>
      <c r="G67" s="330"/>
      <c r="H67" s="330"/>
      <c r="I67" s="330"/>
      <c r="J67" s="330"/>
    </row>
    <row r="69" spans="1:10" x14ac:dyDescent="0.25">
      <c r="A69" s="329"/>
      <c r="B69" s="329"/>
      <c r="C69" s="329"/>
      <c r="D69" s="329"/>
      <c r="E69" s="329"/>
      <c r="F69" s="329"/>
      <c r="G69" s="329"/>
      <c r="H69" s="329"/>
      <c r="I69" s="329"/>
      <c r="J69" s="329"/>
    </row>
    <row r="70" spans="1:10" x14ac:dyDescent="0.25">
      <c r="A70" s="329"/>
      <c r="B70" s="329"/>
      <c r="C70" s="329"/>
      <c r="D70" s="329"/>
      <c r="E70" s="329"/>
      <c r="F70" s="329"/>
      <c r="G70" s="329"/>
      <c r="H70" s="329"/>
      <c r="I70" s="329"/>
      <c r="J70" s="329"/>
    </row>
    <row r="71" spans="1:10" x14ac:dyDescent="0.25">
      <c r="A71" s="329"/>
      <c r="B71" s="329"/>
      <c r="C71" s="329"/>
      <c r="D71" s="329"/>
      <c r="E71" s="329"/>
      <c r="F71" s="329"/>
      <c r="G71" s="329"/>
      <c r="H71" s="329"/>
      <c r="I71" s="329"/>
      <c r="J71" s="329"/>
    </row>
    <row r="72" spans="1:10" x14ac:dyDescent="0.25">
      <c r="A72" s="329"/>
      <c r="B72" s="329"/>
      <c r="C72" s="329"/>
      <c r="D72" s="329"/>
      <c r="E72" s="329"/>
      <c r="F72" s="329"/>
      <c r="G72" s="329"/>
      <c r="H72" s="329"/>
      <c r="I72" s="329"/>
      <c r="J72" s="329"/>
    </row>
    <row r="73" spans="1:10" x14ac:dyDescent="0.25">
      <c r="A73" s="329"/>
      <c r="B73" s="329"/>
      <c r="C73" s="329"/>
      <c r="D73" s="329"/>
      <c r="E73" s="329"/>
      <c r="F73" s="329"/>
      <c r="G73" s="329"/>
      <c r="H73" s="329"/>
      <c r="I73" s="329"/>
      <c r="J73" s="329"/>
    </row>
    <row r="74" spans="1:10" x14ac:dyDescent="0.25">
      <c r="A74" s="329"/>
      <c r="B74" s="329"/>
      <c r="C74" s="329"/>
      <c r="D74" s="329"/>
      <c r="E74" s="329"/>
      <c r="F74" s="329"/>
      <c r="G74" s="329"/>
      <c r="H74" s="329"/>
      <c r="I74" s="329"/>
      <c r="J74" s="329"/>
    </row>
    <row r="75" spans="1:10" x14ac:dyDescent="0.25">
      <c r="A75" s="329"/>
      <c r="B75" s="329"/>
      <c r="C75" s="329"/>
      <c r="D75" s="329"/>
      <c r="E75" s="329"/>
      <c r="F75" s="329"/>
      <c r="G75" s="329"/>
      <c r="H75" s="329"/>
      <c r="I75" s="329"/>
      <c r="J75" s="329"/>
    </row>
    <row r="76" spans="1:10" x14ac:dyDescent="0.25">
      <c r="A76" s="329"/>
      <c r="B76" s="329"/>
      <c r="C76" s="329"/>
      <c r="D76" s="329"/>
      <c r="E76" s="329"/>
      <c r="F76" s="329"/>
      <c r="G76" s="329"/>
      <c r="H76" s="329"/>
      <c r="I76" s="329"/>
      <c r="J76" s="329"/>
    </row>
    <row r="77" spans="1:10" x14ac:dyDescent="0.25">
      <c r="A77" s="329"/>
      <c r="B77" s="329"/>
      <c r="C77" s="329"/>
      <c r="D77" s="329"/>
      <c r="E77" s="329"/>
      <c r="F77" s="329"/>
      <c r="G77" s="329"/>
      <c r="H77" s="329"/>
      <c r="I77" s="329"/>
      <c r="J77" s="329"/>
    </row>
    <row r="78" spans="1:10" x14ac:dyDescent="0.25">
      <c r="A78" s="329"/>
      <c r="B78" s="329"/>
      <c r="C78" s="329"/>
      <c r="D78" s="329"/>
      <c r="E78" s="329"/>
      <c r="F78" s="329"/>
      <c r="G78" s="329"/>
      <c r="H78" s="329"/>
      <c r="I78" s="329"/>
      <c r="J78" s="329"/>
    </row>
    <row r="79" spans="1:10" x14ac:dyDescent="0.25">
      <c r="A79" s="329"/>
      <c r="B79" s="329"/>
      <c r="C79" s="329"/>
      <c r="D79" s="329"/>
      <c r="E79" s="329"/>
      <c r="F79" s="329"/>
      <c r="G79" s="329"/>
      <c r="H79" s="329"/>
      <c r="I79" s="329"/>
      <c r="J79" s="329"/>
    </row>
    <row r="80" spans="1:10" x14ac:dyDescent="0.25">
      <c r="A80" s="329"/>
      <c r="B80" s="329"/>
      <c r="C80" s="329"/>
      <c r="D80" s="329"/>
      <c r="E80" s="329"/>
      <c r="F80" s="329"/>
      <c r="G80" s="329"/>
      <c r="H80" s="329"/>
      <c r="I80" s="329"/>
      <c r="J80" s="329"/>
    </row>
    <row r="81" spans="1:10" x14ac:dyDescent="0.25">
      <c r="A81" s="329"/>
      <c r="B81" s="329"/>
      <c r="C81" s="329"/>
      <c r="D81" s="329"/>
      <c r="E81" s="329"/>
      <c r="F81" s="329"/>
      <c r="G81" s="329"/>
      <c r="H81" s="329"/>
      <c r="I81" s="329"/>
      <c r="J81" s="329"/>
    </row>
    <row r="82" spans="1:10" x14ac:dyDescent="0.25">
      <c r="A82" s="329"/>
      <c r="B82" s="329"/>
      <c r="C82" s="329"/>
      <c r="D82" s="329"/>
      <c r="E82" s="329"/>
      <c r="F82" s="329"/>
      <c r="G82" s="329"/>
      <c r="H82" s="329"/>
      <c r="I82" s="329"/>
      <c r="J82" s="329"/>
    </row>
    <row r="83" spans="1:10" x14ac:dyDescent="0.25">
      <c r="A83" s="329"/>
      <c r="B83" s="329"/>
      <c r="C83" s="329"/>
      <c r="D83" s="329"/>
      <c r="E83" s="329"/>
      <c r="F83" s="329"/>
      <c r="G83" s="329"/>
      <c r="H83" s="329"/>
      <c r="I83" s="329"/>
      <c r="J83" s="329"/>
    </row>
    <row r="84" spans="1:10" x14ac:dyDescent="0.25">
      <c r="A84" s="329"/>
      <c r="B84" s="329"/>
      <c r="C84" s="329"/>
      <c r="D84" s="329"/>
      <c r="E84" s="329"/>
      <c r="F84" s="329"/>
      <c r="G84" s="329"/>
      <c r="H84" s="329"/>
      <c r="I84" s="329"/>
      <c r="J84" s="329"/>
    </row>
    <row r="85" spans="1:10" x14ac:dyDescent="0.25">
      <c r="A85" s="329"/>
      <c r="B85" s="329"/>
      <c r="C85" s="329"/>
      <c r="D85" s="329"/>
      <c r="E85" s="329"/>
      <c r="F85" s="329"/>
      <c r="G85" s="329"/>
      <c r="H85" s="329"/>
      <c r="I85" s="329"/>
      <c r="J85" s="329"/>
    </row>
    <row r="86" spans="1:10" x14ac:dyDescent="0.25">
      <c r="A86" s="329"/>
      <c r="B86" s="329"/>
      <c r="C86" s="329"/>
      <c r="D86" s="329"/>
      <c r="E86" s="329"/>
      <c r="F86" s="329"/>
      <c r="G86" s="329"/>
      <c r="H86" s="329"/>
      <c r="I86" s="329"/>
      <c r="J86" s="329"/>
    </row>
    <row r="87" spans="1:10" x14ac:dyDescent="0.25">
      <c r="A87" s="329"/>
      <c r="B87" s="329"/>
      <c r="C87" s="329"/>
      <c r="D87" s="329"/>
      <c r="E87" s="329"/>
      <c r="F87" s="329"/>
      <c r="G87" s="329"/>
      <c r="H87" s="329"/>
      <c r="I87" s="329"/>
      <c r="J87" s="329"/>
    </row>
    <row r="88" spans="1:10" x14ac:dyDescent="0.25">
      <c r="A88" s="329"/>
      <c r="B88" s="329"/>
      <c r="C88" s="329"/>
      <c r="D88" s="329"/>
      <c r="E88" s="329"/>
      <c r="F88" s="329"/>
      <c r="G88" s="329"/>
      <c r="H88" s="329"/>
      <c r="I88" s="329"/>
      <c r="J88" s="329"/>
    </row>
    <row r="89" spans="1:10" x14ac:dyDescent="0.25">
      <c r="A89" s="330"/>
      <c r="B89" s="330"/>
      <c r="C89" s="330"/>
      <c r="D89" s="330"/>
      <c r="E89" s="330"/>
      <c r="F89" s="330"/>
      <c r="G89" s="330"/>
      <c r="H89" s="330"/>
      <c r="I89" s="330"/>
      <c r="J89" s="330"/>
    </row>
    <row r="91" spans="1:10" x14ac:dyDescent="0.25">
      <c r="A91" s="329"/>
      <c r="B91" s="329"/>
      <c r="C91" s="329"/>
      <c r="D91" s="329"/>
      <c r="E91" s="329"/>
      <c r="F91" s="329"/>
      <c r="G91" s="329"/>
      <c r="H91" s="329"/>
      <c r="I91" s="329"/>
      <c r="J91" s="329"/>
    </row>
    <row r="92" spans="1:10" x14ac:dyDescent="0.25">
      <c r="A92" s="329"/>
      <c r="B92" s="329"/>
      <c r="C92" s="329"/>
      <c r="D92" s="329"/>
      <c r="E92" s="329"/>
      <c r="F92" s="329"/>
      <c r="G92" s="329"/>
      <c r="H92" s="329"/>
      <c r="I92" s="329"/>
      <c r="J92" s="329"/>
    </row>
    <row r="93" spans="1:10" x14ac:dyDescent="0.25">
      <c r="A93" s="329"/>
      <c r="B93" s="329"/>
      <c r="C93" s="329"/>
      <c r="D93" s="329"/>
      <c r="E93" s="329"/>
      <c r="F93" s="329"/>
      <c r="G93" s="329"/>
      <c r="H93" s="329"/>
      <c r="I93" s="329"/>
      <c r="J93" s="329"/>
    </row>
    <row r="94" spans="1:10" x14ac:dyDescent="0.25">
      <c r="A94" s="329"/>
      <c r="B94" s="329"/>
      <c r="C94" s="329"/>
      <c r="D94" s="329"/>
      <c r="E94" s="329"/>
      <c r="F94" s="329"/>
      <c r="G94" s="329"/>
      <c r="H94" s="329"/>
      <c r="I94" s="329"/>
      <c r="J94" s="329"/>
    </row>
    <row r="95" spans="1:10" x14ac:dyDescent="0.25">
      <c r="A95" s="329"/>
      <c r="B95" s="329"/>
      <c r="C95" s="329"/>
      <c r="D95" s="329"/>
      <c r="E95" s="329"/>
      <c r="F95" s="329"/>
      <c r="G95" s="329"/>
      <c r="H95" s="329"/>
      <c r="I95" s="329"/>
      <c r="J95" s="329"/>
    </row>
    <row r="96" spans="1:10" x14ac:dyDescent="0.25">
      <c r="A96" s="329"/>
      <c r="B96" s="329"/>
      <c r="C96" s="329"/>
      <c r="D96" s="329"/>
      <c r="E96" s="329"/>
      <c r="F96" s="329"/>
      <c r="G96" s="329"/>
      <c r="H96" s="329"/>
      <c r="I96" s="329"/>
      <c r="J96" s="329"/>
    </row>
    <row r="97" spans="1:10" x14ac:dyDescent="0.25">
      <c r="A97" s="329"/>
      <c r="B97" s="329"/>
      <c r="C97" s="329"/>
      <c r="D97" s="329"/>
      <c r="E97" s="329"/>
      <c r="F97" s="329"/>
      <c r="G97" s="329"/>
      <c r="H97" s="329"/>
      <c r="I97" s="329"/>
      <c r="J97" s="329"/>
    </row>
    <row r="98" spans="1:10" x14ac:dyDescent="0.25">
      <c r="A98" s="329"/>
      <c r="B98" s="329"/>
      <c r="C98" s="329"/>
      <c r="D98" s="329"/>
      <c r="E98" s="329"/>
      <c r="F98" s="329"/>
      <c r="G98" s="329"/>
      <c r="H98" s="329"/>
      <c r="I98" s="329"/>
      <c r="J98" s="329"/>
    </row>
    <row r="99" spans="1:10" x14ac:dyDescent="0.25">
      <c r="A99" s="329"/>
      <c r="B99" s="329"/>
      <c r="C99" s="329"/>
      <c r="D99" s="329"/>
      <c r="E99" s="329"/>
      <c r="F99" s="329"/>
      <c r="G99" s="329"/>
      <c r="H99" s="329"/>
      <c r="I99" s="329"/>
      <c r="J99" s="329"/>
    </row>
    <row r="100" spans="1:10" x14ac:dyDescent="0.25">
      <c r="A100" s="329"/>
      <c r="B100" s="329"/>
      <c r="C100" s="329"/>
      <c r="D100" s="329"/>
      <c r="E100" s="329"/>
      <c r="F100" s="329"/>
      <c r="G100" s="329"/>
      <c r="H100" s="329"/>
      <c r="I100" s="329"/>
      <c r="J100" s="329"/>
    </row>
    <row r="101" spans="1:10" ht="18.75" customHeight="1" x14ac:dyDescent="0.25">
      <c r="A101" s="329"/>
      <c r="B101" s="329"/>
      <c r="C101" s="329"/>
      <c r="D101" s="329"/>
      <c r="E101" s="329"/>
      <c r="F101" s="329"/>
      <c r="G101" s="329"/>
      <c r="H101" s="329"/>
      <c r="I101" s="329"/>
      <c r="J101" s="329"/>
    </row>
    <row r="102" spans="1:10" x14ac:dyDescent="0.25">
      <c r="A102" s="329"/>
      <c r="B102" s="329"/>
      <c r="C102" s="329"/>
      <c r="D102" s="329"/>
      <c r="E102" s="329"/>
      <c r="F102" s="329"/>
      <c r="G102" s="329"/>
      <c r="H102" s="329"/>
      <c r="I102" s="329"/>
      <c r="J102" s="329"/>
    </row>
    <row r="103" spans="1:10" x14ac:dyDescent="0.25">
      <c r="A103" s="329"/>
      <c r="B103" s="329"/>
      <c r="C103" s="329"/>
      <c r="D103" s="329"/>
      <c r="E103" s="329"/>
      <c r="F103" s="329"/>
      <c r="G103" s="329"/>
      <c r="H103" s="329"/>
      <c r="I103" s="329"/>
      <c r="J103" s="329"/>
    </row>
    <row r="104" spans="1:10" x14ac:dyDescent="0.25">
      <c r="A104" s="329"/>
      <c r="B104" s="329"/>
      <c r="C104" s="329"/>
      <c r="D104" s="329"/>
      <c r="E104" s="329"/>
      <c r="F104" s="329"/>
      <c r="G104" s="329"/>
      <c r="H104" s="329"/>
      <c r="I104" s="329"/>
      <c r="J104" s="329"/>
    </row>
    <row r="105" spans="1:10" x14ac:dyDescent="0.25">
      <c r="A105" s="329"/>
      <c r="B105" s="329"/>
      <c r="C105" s="329"/>
      <c r="D105" s="329"/>
      <c r="E105" s="329"/>
      <c r="F105" s="329"/>
      <c r="G105" s="329"/>
      <c r="H105" s="329"/>
      <c r="I105" s="329"/>
      <c r="J105" s="329"/>
    </row>
    <row r="106" spans="1:10" x14ac:dyDescent="0.25">
      <c r="A106" s="329"/>
      <c r="B106" s="329"/>
      <c r="C106" s="329"/>
      <c r="D106" s="329"/>
      <c r="E106" s="329"/>
      <c r="F106" s="329"/>
      <c r="G106" s="329"/>
      <c r="H106" s="329"/>
      <c r="I106" s="329"/>
      <c r="J106" s="329"/>
    </row>
    <row r="107" spans="1:10" ht="15" customHeight="1" x14ac:dyDescent="0.25">
      <c r="A107" s="329"/>
      <c r="B107" s="329"/>
      <c r="C107" s="329"/>
      <c r="D107" s="329"/>
      <c r="E107" s="329"/>
      <c r="F107" s="329"/>
      <c r="G107" s="329"/>
      <c r="H107" s="329"/>
      <c r="I107" s="329"/>
      <c r="J107" s="329"/>
    </row>
    <row r="108" spans="1:10" ht="15" customHeight="1" x14ac:dyDescent="0.25">
      <c r="A108" s="329"/>
      <c r="B108" s="329"/>
      <c r="C108" s="329"/>
      <c r="D108" s="329"/>
      <c r="E108" s="329"/>
      <c r="F108" s="329"/>
      <c r="G108" s="329"/>
      <c r="H108" s="329"/>
      <c r="I108" s="329"/>
      <c r="J108" s="329"/>
    </row>
    <row r="109" spans="1:10" x14ac:dyDescent="0.25">
      <c r="A109" s="329"/>
      <c r="B109" s="329"/>
      <c r="C109" s="329"/>
      <c r="D109" s="329"/>
      <c r="E109" s="329"/>
      <c r="F109" s="329"/>
      <c r="G109" s="329"/>
      <c r="H109" s="329"/>
      <c r="I109" s="329"/>
      <c r="J109" s="329"/>
    </row>
    <row r="110" spans="1:10" x14ac:dyDescent="0.25">
      <c r="A110" s="329"/>
      <c r="B110" s="329"/>
      <c r="C110" s="329"/>
      <c r="D110" s="329"/>
      <c r="E110" s="329"/>
      <c r="F110" s="329"/>
      <c r="G110" s="329"/>
      <c r="H110" s="329"/>
      <c r="I110" s="329"/>
      <c r="J110" s="329"/>
    </row>
    <row r="111" spans="1:10" x14ac:dyDescent="0.25">
      <c r="A111" s="329"/>
      <c r="B111" s="329"/>
      <c r="C111" s="329"/>
      <c r="D111" s="329"/>
      <c r="E111" s="329"/>
      <c r="F111" s="329"/>
      <c r="G111" s="329"/>
      <c r="H111" s="329"/>
      <c r="I111" s="329"/>
      <c r="J111" s="329"/>
    </row>
    <row r="112" spans="1:10" x14ac:dyDescent="0.25">
      <c r="A112" s="329"/>
      <c r="B112" s="329"/>
      <c r="C112" s="329"/>
      <c r="D112" s="329"/>
      <c r="E112" s="329"/>
      <c r="F112" s="329"/>
      <c r="G112" s="329"/>
      <c r="H112" s="329"/>
      <c r="I112" s="329"/>
      <c r="J112" s="329"/>
    </row>
    <row r="113" spans="1:10" x14ac:dyDescent="0.25">
      <c r="A113" s="329"/>
      <c r="B113" s="329"/>
      <c r="C113" s="329"/>
      <c r="D113" s="329"/>
      <c r="E113" s="329"/>
      <c r="F113" s="329"/>
      <c r="G113" s="329"/>
      <c r="H113" s="329"/>
      <c r="I113" s="329"/>
      <c r="J113" s="329"/>
    </row>
    <row r="114" spans="1:10" x14ac:dyDescent="0.25">
      <c r="A114" s="329"/>
      <c r="B114" s="329"/>
      <c r="C114" s="329"/>
      <c r="D114" s="329"/>
      <c r="E114" s="329"/>
      <c r="F114" s="329"/>
      <c r="G114" s="329"/>
      <c r="H114" s="329"/>
      <c r="I114" s="329"/>
      <c r="J114" s="329"/>
    </row>
    <row r="115" spans="1:10" x14ac:dyDescent="0.25">
      <c r="A115" s="329"/>
      <c r="B115" s="329"/>
      <c r="C115" s="329"/>
      <c r="D115" s="329"/>
      <c r="E115" s="329"/>
      <c r="F115" s="329"/>
      <c r="G115" s="329"/>
      <c r="H115" s="329"/>
      <c r="I115" s="329"/>
      <c r="J115" s="329"/>
    </row>
    <row r="116" spans="1:10" x14ac:dyDescent="0.25">
      <c r="A116" s="329"/>
      <c r="B116" s="329"/>
      <c r="C116" s="329"/>
      <c r="D116" s="329"/>
      <c r="E116" s="329"/>
      <c r="F116" s="329"/>
      <c r="G116" s="329"/>
      <c r="H116" s="329"/>
      <c r="I116" s="329"/>
      <c r="J116" s="329"/>
    </row>
  </sheetData>
  <sheetProtection algorithmName="SHA-512" hashValue="F+BA26JbH17QKaWFn4Kt6AJGs0xonH/rWVfO6HTAoZfBKXV4GrLBp6A/mtvkrOC+tIyNPGPuTmsevxn/sJqTsQ==" saltValue="SMp/wrgJ/F/4zZQUdVeJFQ==" spinCount="100000" sheet="1" objects="1" scenarios="1" formatCells="0" formatColumns="0" formatRows="0" autoFilter="0" pivotTables="0"/>
  <mergeCells count="60">
    <mergeCell ref="I35:J35"/>
    <mergeCell ref="A1:B1"/>
    <mergeCell ref="C1:D1"/>
    <mergeCell ref="F35:H35"/>
    <mergeCell ref="C16:E16"/>
    <mergeCell ref="C17:E17"/>
    <mergeCell ref="C18:E18"/>
    <mergeCell ref="A19:B24"/>
    <mergeCell ref="C19:E19"/>
    <mergeCell ref="C20:E20"/>
    <mergeCell ref="C21:E21"/>
    <mergeCell ref="C22:E22"/>
    <mergeCell ref="C23:E23"/>
    <mergeCell ref="C24:E24"/>
    <mergeCell ref="C33:E33"/>
    <mergeCell ref="A8:E9"/>
    <mergeCell ref="F8:H8"/>
    <mergeCell ref="I8:J8"/>
    <mergeCell ref="A10:B18"/>
    <mergeCell ref="C10:E10"/>
    <mergeCell ref="C11:E11"/>
    <mergeCell ref="C12:E12"/>
    <mergeCell ref="C13:E13"/>
    <mergeCell ref="C14:E14"/>
    <mergeCell ref="C15:E15"/>
    <mergeCell ref="A2:B2"/>
    <mergeCell ref="C2:D2"/>
    <mergeCell ref="A3:B3"/>
    <mergeCell ref="C3:D3"/>
    <mergeCell ref="A6:J6"/>
    <mergeCell ref="A4:B4"/>
    <mergeCell ref="C4:D4"/>
    <mergeCell ref="C39:E39"/>
    <mergeCell ref="A25:B33"/>
    <mergeCell ref="C29:E29"/>
    <mergeCell ref="C30:E30"/>
    <mergeCell ref="C31:E31"/>
    <mergeCell ref="C32:E32"/>
    <mergeCell ref="C25:E25"/>
    <mergeCell ref="C26:E26"/>
    <mergeCell ref="C27:E27"/>
    <mergeCell ref="C28:E28"/>
    <mergeCell ref="A37:B39"/>
    <mergeCell ref="A35:E36"/>
    <mergeCell ref="K1:R1"/>
    <mergeCell ref="K34:R34"/>
    <mergeCell ref="A69:J89"/>
    <mergeCell ref="A91:J116"/>
    <mergeCell ref="K13:R13"/>
    <mergeCell ref="A47:J67"/>
    <mergeCell ref="K24:R24"/>
    <mergeCell ref="C43:E43"/>
    <mergeCell ref="A40:B45"/>
    <mergeCell ref="C40:E40"/>
    <mergeCell ref="C41:E41"/>
    <mergeCell ref="C42:E42"/>
    <mergeCell ref="C44:E44"/>
    <mergeCell ref="C45:E45"/>
    <mergeCell ref="C37:E37"/>
    <mergeCell ref="C38:E38"/>
  </mergeCells>
  <pageMargins left="0.5625" right="0.25" top="0.75" bottom="0.75" header="0.3" footer="0.3"/>
  <pageSetup paperSize="9" orientation="portrait" r:id="rId1"/>
  <headerFooter>
    <oddFooter>&amp;C&amp;K034EA2Audit de traçabilité des Dispositifs Médicaux Implantables (DMI)&amp;R&amp;K034EA2&amp;P/&amp;N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45F01-3FBD-42F2-A808-F35BFA698752}">
  <sheetPr>
    <tabColor rgb="FFFFAB57"/>
  </sheetPr>
  <dimension ref="A1:U135"/>
  <sheetViews>
    <sheetView tabSelected="1" view="pageLayout" zoomScale="60" zoomScaleNormal="100" zoomScalePageLayoutView="60" workbookViewId="0">
      <selection sqref="A1:XFD1048576"/>
    </sheetView>
  </sheetViews>
  <sheetFormatPr baseColWidth="10" defaultRowHeight="15" x14ac:dyDescent="0.25"/>
  <cols>
    <col min="1" max="1" width="9.85546875" style="534" bestFit="1" customWidth="1"/>
    <col min="2" max="2" width="14.140625" style="534" bestFit="1" customWidth="1"/>
    <col min="3" max="3" width="29" style="534" bestFit="1" customWidth="1"/>
    <col min="4" max="4" width="29" style="534" customWidth="1"/>
    <col min="5" max="5" width="30.140625" style="534" bestFit="1" customWidth="1"/>
    <col min="6" max="6" width="31.28515625" style="534" bestFit="1" customWidth="1"/>
    <col min="7" max="7" width="78" style="534" bestFit="1" customWidth="1"/>
    <col min="8" max="8" width="12.28515625" style="534" bestFit="1" customWidth="1"/>
    <col min="9" max="9" width="14.140625" style="534" bestFit="1" customWidth="1"/>
    <col min="10" max="10" width="29" style="534" bestFit="1" customWidth="1"/>
    <col min="11" max="11" width="30.140625" style="534" bestFit="1" customWidth="1"/>
    <col min="12" max="12" width="31.28515625" style="534" bestFit="1" customWidth="1"/>
    <col min="13" max="13" width="78" style="534" bestFit="1" customWidth="1"/>
    <col min="14" max="17" width="11.42578125" style="457"/>
    <col min="18" max="18" width="41.28515625" style="457" bestFit="1" customWidth="1"/>
    <col min="19" max="19" width="24.85546875" style="457" bestFit="1" customWidth="1"/>
    <col min="20" max="20" width="25.140625" style="457" bestFit="1" customWidth="1"/>
    <col min="21" max="16384" width="11.42578125" style="457"/>
  </cols>
  <sheetData>
    <row r="1" spans="1:21" ht="15.6" customHeight="1" x14ac:dyDescent="0.25">
      <c r="A1" s="532" t="s">
        <v>438</v>
      </c>
      <c r="B1" s="532"/>
      <c r="C1" s="532"/>
      <c r="D1" s="533" cm="1">
        <f t="array" ref="D1">COUNTA(_xlfn.UNIQUE(_xlfn._xlws.FILTER('Traçabilité et info patient'!C11:AF11,'Traçabilité et info patient'!C11:AF11&lt;&gt;"")))</f>
        <v>1</v>
      </c>
      <c r="I1" s="535" t="s">
        <v>429</v>
      </c>
      <c r="J1" s="535"/>
      <c r="K1" s="535"/>
      <c r="L1" s="535"/>
      <c r="M1" s="535"/>
      <c r="N1" s="535"/>
      <c r="O1" s="535"/>
      <c r="P1" s="535"/>
      <c r="Q1" s="535"/>
    </row>
    <row r="2" spans="1:21" x14ac:dyDescent="0.25">
      <c r="A2" s="532" t="s">
        <v>439</v>
      </c>
      <c r="B2" s="532"/>
      <c r="C2" s="532"/>
      <c r="D2" s="533" cm="1">
        <f t="array" ref="D2">COUNTA(_xlfn.UNIQUE(_xlfn._xlws.FILTER('Traçabilité et info patient'!C8:AF8,'Traçabilité et info patient'!C8:AF8&lt;&gt;"")))</f>
        <v>5</v>
      </c>
    </row>
    <row r="3" spans="1:21" x14ac:dyDescent="0.25">
      <c r="H3" s="457"/>
      <c r="I3" s="457"/>
      <c r="J3" s="457"/>
      <c r="K3" s="457"/>
      <c r="L3" s="457"/>
      <c r="M3" s="457"/>
    </row>
    <row r="4" spans="1:21" ht="17.25" customHeight="1" x14ac:dyDescent="0.25">
      <c r="A4" s="535" t="s">
        <v>429</v>
      </c>
      <c r="B4" s="535"/>
      <c r="C4" s="535"/>
      <c r="D4" s="535"/>
      <c r="E4" s="535"/>
      <c r="F4" s="535"/>
      <c r="G4" s="535"/>
      <c r="H4" s="535"/>
      <c r="I4" s="457"/>
      <c r="J4" s="457"/>
      <c r="K4" s="457"/>
      <c r="L4" s="457"/>
      <c r="M4" s="457"/>
      <c r="R4" s="536"/>
      <c r="S4" s="536" t="s">
        <v>433</v>
      </c>
      <c r="T4" s="536" t="s">
        <v>434</v>
      </c>
      <c r="U4" s="536" t="s">
        <v>189</v>
      </c>
    </row>
    <row r="5" spans="1:21" x14ac:dyDescent="0.25">
      <c r="H5" s="457"/>
      <c r="I5" s="457"/>
      <c r="J5" s="457"/>
      <c r="K5" s="457"/>
      <c r="L5" s="457"/>
      <c r="M5" s="457"/>
      <c r="R5" s="537" t="s">
        <v>320</v>
      </c>
      <c r="S5" s="537">
        <f>IF(E9="Oui",1,-1)</f>
        <v>1</v>
      </c>
      <c r="T5" s="537">
        <f ca="1">IF(F9="Oui",1,-1)</f>
        <v>1</v>
      </c>
      <c r="U5" s="533">
        <f ca="1">COUNTIFS($G$7:$G$36,R5)</f>
        <v>14</v>
      </c>
    </row>
    <row r="6" spans="1:21" s="539" customFormat="1" ht="40.5" customHeight="1" x14ac:dyDescent="0.25">
      <c r="A6" s="536" t="s">
        <v>315</v>
      </c>
      <c r="B6" s="536" t="s">
        <v>444</v>
      </c>
      <c r="C6" s="536" t="s">
        <v>431</v>
      </c>
      <c r="D6" s="536" t="s">
        <v>445</v>
      </c>
      <c r="E6" s="536" t="s">
        <v>432</v>
      </c>
      <c r="F6" s="536" t="s">
        <v>490</v>
      </c>
      <c r="G6" s="536" t="s">
        <v>464</v>
      </c>
      <c r="H6" s="538" t="s">
        <v>463</v>
      </c>
      <c r="I6" s="457"/>
      <c r="J6" s="457"/>
      <c r="K6" s="457"/>
      <c r="L6" s="457"/>
      <c r="M6" s="457"/>
      <c r="R6" s="537" t="s">
        <v>437</v>
      </c>
      <c r="S6" s="537">
        <f>IF(E10="Oui",1,-1)</f>
        <v>-1</v>
      </c>
      <c r="T6" s="537">
        <f ca="1">IF(F10="Oui",1,-1)</f>
        <v>-1</v>
      </c>
      <c r="U6" s="533">
        <f t="shared" ref="U6:U8" ca="1" si="0">COUNTIFS($G$7:$G$36,R6)</f>
        <v>14</v>
      </c>
    </row>
    <row r="7" spans="1:21" ht="24" x14ac:dyDescent="0.25">
      <c r="A7" s="537" t="s">
        <v>28</v>
      </c>
      <c r="B7" s="537" t="str">
        <f>_xlfn.XLOOKUP(A7,'Traçabilité et info patient'!$C$2:$AF$2,'Traçabilité et info patient'!$C$11:$AF$11)</f>
        <v>CHIRURGIEN 01</v>
      </c>
      <c r="C7" s="537" t="str">
        <f>_xlfn.XLOOKUP(A7,'Traçabilité et info patient'!$C$2:$AF$2,'Traçabilité et info patient'!$C$9:$AF$9)</f>
        <v>Chirurgie cardio-vasculaire &amp; Cardiologie interventionnelle</v>
      </c>
      <c r="D7" s="537" t="str">
        <f>_xlfn.XLOOKUP(A7,'Traçabilité et info patient'!$C$2:$AF$2,'Traçabilité et info patient'!$C$8:$AF$8)</f>
        <v>DMI 1</v>
      </c>
      <c r="E7" s="537" t="str" cm="1">
        <f t="array" ref="E7">IF(OR(INDEX('Traçabilité et info patient'!$C$38:$AF$38, ROW(A1))="oui", INDEX('Traçabilité et info patient'!$C$39:$AF$39, ROW(A1))="oui"), "Oui", "Non")</f>
        <v>Oui</v>
      </c>
      <c r="F7" s="537" t="str">
        <f ca="1">OFFSET('Traçabilité et info patient'!$C$93, 0, ROW(A1)-1)</f>
        <v>Non</v>
      </c>
      <c r="G7" s="537" t="str">
        <f t="shared" ref="G7:G36" ca="1" si="1">IF(OR(E7="",F7=""),"",IF(F7="NA","Non applicable",IF(AND(OR(E7="Oui",E7="Plutôt oui"),F7="Oui"),"Processus conforme",IF(AND(OR(E7="Oui",E7="Plutôt oui"),F7="Non"),"Écart : information reçue mais non tracée dans le SI",IF(AND(OR(E7="Non",E7="Plutôt non"),F7="Oui"),"Écart : information non reçue mais tracée dans le SI","Processus non conforme : Information non reçue &amp; non enregistrée dans le SI")))))</f>
        <v>Écart : information reçue mais non tracée dans le SI</v>
      </c>
      <c r="H7" s="540">
        <f ca="1">OFFSET('Traçabilité et info patient'!$C$100, 0, ROW(A1)-1)</f>
        <v>0.1111111111111111</v>
      </c>
      <c r="I7" s="457"/>
      <c r="J7" s="457"/>
      <c r="K7" s="457"/>
      <c r="L7" s="457"/>
      <c r="M7" s="457"/>
      <c r="R7" s="537" t="s">
        <v>436</v>
      </c>
      <c r="S7" s="537">
        <f>IF(E7="Oui",1,-1)</f>
        <v>1</v>
      </c>
      <c r="T7" s="537">
        <f ca="1">IF(F7="Oui",1,-1)</f>
        <v>-1</v>
      </c>
      <c r="U7" s="533">
        <f t="shared" ca="1" si="0"/>
        <v>1</v>
      </c>
    </row>
    <row r="8" spans="1:21" ht="24" x14ac:dyDescent="0.25">
      <c r="A8" s="537" t="s">
        <v>29</v>
      </c>
      <c r="B8" s="537" t="str">
        <f>_xlfn.XLOOKUP(A8,'Traçabilité et info patient'!$C$2:$AF$2,'Traçabilité et info patient'!$C$11:$AF$11)</f>
        <v>CHIRURGIEN 06</v>
      </c>
      <c r="C8" s="537">
        <f>_xlfn.XLOOKUP(A8,'Traçabilité et info patient'!$C$2:$AF$2,'Traçabilité et info patient'!$C$9:$AF$9)</f>
        <v>0</v>
      </c>
      <c r="D8" s="537" t="str">
        <f>_xlfn.XLOOKUP(A8,'Traçabilité et info patient'!$C$2:$AF$2,'Traçabilité et info patient'!$C$8:$AF$8)</f>
        <v>DMI 6</v>
      </c>
      <c r="E8" s="537" t="str" cm="1">
        <f t="array" ref="E8">IF(OR(INDEX('Traçabilité et info patient'!$C$38:$AF$38, ROW(A2))="oui", INDEX('Traçabilité et info patient'!$C$39:$AF$39, ROW(A2))="oui"), "Oui", "Non")</f>
        <v>Non</v>
      </c>
      <c r="F8" s="537" t="str">
        <f ca="1">OFFSET('Traçabilité et info patient'!$C$93, 0, ROW(A2)-1)</f>
        <v>Oui</v>
      </c>
      <c r="G8" s="537" t="str">
        <f t="shared" ca="1" si="1"/>
        <v>Écart : information non reçue mais tracée dans le SI</v>
      </c>
      <c r="H8" s="540">
        <f ca="1">OFFSET('Traçabilité et info patient'!$C$100, 0, ROW(A2)-1)</f>
        <v>0.1111111111111111</v>
      </c>
      <c r="I8" s="457"/>
      <c r="J8" s="457"/>
      <c r="K8" s="457"/>
      <c r="L8" s="457"/>
      <c r="M8" s="457"/>
      <c r="R8" s="537" t="s">
        <v>435</v>
      </c>
      <c r="S8" s="537">
        <f>IF(E8="Oui",1,-1)</f>
        <v>-1</v>
      </c>
      <c r="T8" s="537">
        <f ca="1">IF(F8="Oui",1,-1)</f>
        <v>1</v>
      </c>
      <c r="U8" s="533">
        <f t="shared" ca="1" si="0"/>
        <v>1</v>
      </c>
    </row>
    <row r="9" spans="1:21" ht="22.5" customHeight="1" x14ac:dyDescent="0.25">
      <c r="A9" s="537" t="s">
        <v>30</v>
      </c>
      <c r="B9" s="537" t="str">
        <f>_xlfn.XLOOKUP(A9,'Traçabilité et info patient'!$C$2:$AF$2,'Traçabilité et info patient'!$C$11:$AF$11)</f>
        <v>CHIRURGIEN 03</v>
      </c>
      <c r="C9" s="537" t="str">
        <f>_xlfn.XLOOKUP(A9,'Traçabilité et info patient'!$C$2:$AF$2,'Traçabilité et info patient'!$C$9:$AF$9)</f>
        <v>Chirurgie ophtalmique</v>
      </c>
      <c r="D9" s="537" t="str">
        <f>_xlfn.XLOOKUP(A9,'Traçabilité et info patient'!$C$2:$AF$2,'Traçabilité et info patient'!$C$8:$AF$8)</f>
        <v>DMI 3</v>
      </c>
      <c r="E9" s="537" t="str" cm="1">
        <f t="array" ref="E9">IF(OR(INDEX('Traçabilité et info patient'!$C$38:$AF$38, ROW(A3))="oui", INDEX('Traçabilité et info patient'!$C$39:$AF$39, ROW(A3))="oui"), "Oui", "Non")</f>
        <v>Oui</v>
      </c>
      <c r="F9" s="537" t="str">
        <f ca="1">OFFSET('Traçabilité et info patient'!$C$93, 0, ROW(A3)-1)</f>
        <v>Oui</v>
      </c>
      <c r="G9" s="537" t="str">
        <f t="shared" ca="1" si="1"/>
        <v>Processus conforme</v>
      </c>
      <c r="H9" s="540">
        <f ca="1">OFFSET('Traçabilité et info patient'!$C$100, 0, ROW(A3)-1)</f>
        <v>0.1111111111111111</v>
      </c>
      <c r="I9" s="457"/>
      <c r="J9" s="457"/>
      <c r="K9" s="457"/>
      <c r="L9" s="457"/>
      <c r="M9" s="457"/>
    </row>
    <row r="10" spans="1:21" ht="24" x14ac:dyDescent="0.25">
      <c r="A10" s="537" t="s">
        <v>31</v>
      </c>
      <c r="B10" s="537" t="str">
        <f>_xlfn.XLOOKUP(A10,'Traçabilité et info patient'!$C$2:$AF$2,'Traçabilité et info patient'!$C$11:$AF$11)</f>
        <v>CHIRURGIEN 02</v>
      </c>
      <c r="C10" s="537" t="str">
        <f>_xlfn.XLOOKUP(A10,'Traçabilité et info patient'!$C$2:$AF$2,'Traçabilité et info patient'!$C$9:$AF$9)</f>
        <v>Chirurgie digestive et viscérale</v>
      </c>
      <c r="D10" s="537" t="str">
        <f>_xlfn.XLOOKUP(A10,'Traçabilité et info patient'!$C$2:$AF$2,'Traçabilité et info patient'!$C$8:$AF$8)</f>
        <v>DMI 2</v>
      </c>
      <c r="E10" s="537" t="str" cm="1">
        <f t="array" ref="E10">IF(OR(INDEX('Traçabilité et info patient'!$C$38:$AF$38, ROW(A4))="oui", INDEX('Traçabilité et info patient'!$C$39:$AF$39, ROW(A4))="oui"), "Oui", "Non")</f>
        <v>Non</v>
      </c>
      <c r="F10" s="537" t="str">
        <f ca="1">OFFSET('Traçabilité et info patient'!$C$93, 0, ROW(A4)-1)</f>
        <v>Non</v>
      </c>
      <c r="G10" s="537" t="str">
        <f t="shared" ca="1" si="1"/>
        <v>Processus non conforme : Information non reçue &amp; non enregistrée dans le SI</v>
      </c>
      <c r="H10" s="540">
        <f ca="1">OFFSET('Traçabilité et info patient'!$C$100, 0, ROW(A4)-1)</f>
        <v>0</v>
      </c>
      <c r="I10" s="457"/>
      <c r="J10" s="457"/>
      <c r="K10" s="457"/>
      <c r="L10" s="457"/>
      <c r="M10" s="457"/>
    </row>
    <row r="11" spans="1:21" ht="24" x14ac:dyDescent="0.25">
      <c r="A11" s="537" t="s">
        <v>32</v>
      </c>
      <c r="B11" s="537" t="str">
        <f>_xlfn.XLOOKUP(A11,'Traçabilité et info patient'!$C$2:$AF$2,'Traçabilité et info patient'!$C$11:$AF$11)</f>
        <v>CHIRURGIEN 10</v>
      </c>
      <c r="C11" s="537">
        <f>_xlfn.XLOOKUP(A11,'Traçabilité et info patient'!$C$2:$AF$2,'Traçabilité et info patient'!$C$9:$AF$9)</f>
        <v>0</v>
      </c>
      <c r="D11" s="537" t="str">
        <f>_xlfn.XLOOKUP(A11,'Traçabilité et info patient'!$C$2:$AF$2,'Traçabilité et info patient'!$C$8:$AF$8)</f>
        <v>DMI 10</v>
      </c>
      <c r="E11" s="537" t="str" cm="1">
        <f t="array" ref="E11">IF(OR(INDEX('Traçabilité et info patient'!$C$38:$AF$38, ROW(A5))="oui", INDEX('Traçabilité et info patient'!$C$39:$AF$39, ROW(A5))="oui"), "Oui", "Non")</f>
        <v>Oui</v>
      </c>
      <c r="F11" s="537" t="str">
        <f ca="1">OFFSET('Traçabilité et info patient'!$C$93, 0, ROW(A5)-1)</f>
        <v>Oui</v>
      </c>
      <c r="G11" s="537" t="str">
        <f t="shared" ca="1" si="1"/>
        <v>Processus conforme</v>
      </c>
      <c r="H11" s="540">
        <f ca="1">OFFSET('Traçabilité et info patient'!$C$100, 0, ROW(A5)-1)</f>
        <v>0.1111111111111111</v>
      </c>
      <c r="I11" s="457"/>
      <c r="J11" s="457"/>
      <c r="K11" s="457"/>
      <c r="L11" s="457"/>
      <c r="M11" s="457"/>
    </row>
    <row r="12" spans="1:21" ht="24" x14ac:dyDescent="0.25">
      <c r="A12" s="537" t="s">
        <v>33</v>
      </c>
      <c r="B12" s="537" t="e">
        <f>_xlfn.XLOOKUP(A12,'Traçabilité et info patient'!$C$2:$AF$2,'Traçabilité et info patient'!$C$11:$AF$11)</f>
        <v>#N/A</v>
      </c>
      <c r="C12" s="537" t="e">
        <f>_xlfn.XLOOKUP(A12,'Traçabilité et info patient'!$C$2:$AF$2,'Traçabilité et info patient'!$C$9:$AF$9)</f>
        <v>#N/A</v>
      </c>
      <c r="D12" s="537">
        <f>_xlfn.XLOOKUP(A12,'Traçabilité et info patient'!$C$2:$AF$2,'Traçabilité et info patient'!$C$8:$AF$8)</f>
        <v>0</v>
      </c>
      <c r="E12" s="537" t="str" cm="1">
        <f t="array" ref="E12">IF(OR(INDEX('Traçabilité et info patient'!$C$38:$AF$38, ROW(A6))="oui", INDEX('Traçabilité et info patient'!$C$39:$AF$39, ROW(A6))="oui"), "Oui", "Non")</f>
        <v>Non</v>
      </c>
      <c r="F12" s="537" t="str">
        <f ca="1">OFFSET('Traçabilité et info patient'!$C$93, 0, ROW(A6)-1)</f>
        <v>Non</v>
      </c>
      <c r="G12" s="537" t="str">
        <f t="shared" ca="1" si="1"/>
        <v>Processus non conforme : Information non reçue &amp; non enregistrée dans le SI</v>
      </c>
      <c r="H12" s="540">
        <f ca="1">OFFSET('Traçabilité et info patient'!$C$100, 0, ROW(A6)-1)</f>
        <v>0</v>
      </c>
      <c r="I12" s="457"/>
      <c r="J12" s="457"/>
      <c r="K12" s="457"/>
      <c r="L12" s="457"/>
      <c r="M12" s="457"/>
    </row>
    <row r="13" spans="1:21" ht="24" x14ac:dyDescent="0.25">
      <c r="A13" s="537" t="s">
        <v>34</v>
      </c>
      <c r="B13" s="537" t="e">
        <f>_xlfn.XLOOKUP(A13,'Traçabilité et info patient'!$C$2:$AF$2,'Traçabilité et info patient'!$C$11:$AF$11)</f>
        <v>#N/A</v>
      </c>
      <c r="C13" s="537" t="e">
        <f>_xlfn.XLOOKUP(A13,'Traçabilité et info patient'!$C$2:$AF$2,'Traçabilité et info patient'!$C$9:$AF$9)</f>
        <v>#N/A</v>
      </c>
      <c r="D13" s="537">
        <f>_xlfn.XLOOKUP(A13,'Traçabilité et info patient'!$C$2:$AF$2,'Traçabilité et info patient'!$C$8:$AF$8)</f>
        <v>0</v>
      </c>
      <c r="E13" s="537" t="str" cm="1">
        <f t="array" ref="E13">IF(OR(INDEX('Traçabilité et info patient'!$C$38:$AF$38, ROW(A7))="oui", INDEX('Traçabilité et info patient'!$C$39:$AF$39, ROW(A7))="oui"), "Oui", "Non")</f>
        <v>Oui</v>
      </c>
      <c r="F13" s="537" t="str">
        <f ca="1">OFFSET('Traçabilité et info patient'!$C$93, 0, ROW(A7)-1)</f>
        <v>Oui</v>
      </c>
      <c r="G13" s="537" t="str">
        <f t="shared" ca="1" si="1"/>
        <v>Processus conforme</v>
      </c>
      <c r="H13" s="540">
        <f ca="1">OFFSET('Traçabilité et info patient'!$C$100, 0, ROW(A7)-1)</f>
        <v>0.1111111111111111</v>
      </c>
      <c r="I13" s="457"/>
      <c r="J13" s="457"/>
      <c r="K13" s="457"/>
      <c r="L13" s="457"/>
      <c r="M13" s="457"/>
    </row>
    <row r="14" spans="1:21" ht="24" x14ac:dyDescent="0.25">
      <c r="A14" s="537" t="s">
        <v>35</v>
      </c>
      <c r="B14" s="537" t="e">
        <f>_xlfn.XLOOKUP(A14,'Traçabilité et info patient'!$C$2:$AF$2,'Traçabilité et info patient'!$C$11:$AF$11)</f>
        <v>#N/A</v>
      </c>
      <c r="C14" s="537" t="e">
        <f>_xlfn.XLOOKUP(A14,'Traçabilité et info patient'!$C$2:$AF$2,'Traçabilité et info patient'!$C$9:$AF$9)</f>
        <v>#N/A</v>
      </c>
      <c r="D14" s="537">
        <f>_xlfn.XLOOKUP(A14,'Traçabilité et info patient'!$C$2:$AF$2,'Traçabilité et info patient'!$C$8:$AF$8)</f>
        <v>0</v>
      </c>
      <c r="E14" s="537" t="str" cm="1">
        <f t="array" ref="E14">IF(OR(INDEX('Traçabilité et info patient'!$C$38:$AF$38, ROW(A8))="oui", INDEX('Traçabilité et info patient'!$C$39:$AF$39, ROW(A8))="oui"), "Oui", "Non")</f>
        <v>Non</v>
      </c>
      <c r="F14" s="537" t="str">
        <f ca="1">OFFSET('Traçabilité et info patient'!$C$93, 0, ROW(A8)-1)</f>
        <v>Non</v>
      </c>
      <c r="G14" s="537" t="str">
        <f t="shared" ca="1" si="1"/>
        <v>Processus non conforme : Information non reçue &amp; non enregistrée dans le SI</v>
      </c>
      <c r="H14" s="540">
        <f ca="1">OFFSET('Traçabilité et info patient'!$C$100, 0, ROW(A8)-1)</f>
        <v>0</v>
      </c>
      <c r="I14" s="457"/>
      <c r="J14" s="457"/>
      <c r="K14" s="457"/>
      <c r="L14" s="457"/>
      <c r="M14" s="457"/>
    </row>
    <row r="15" spans="1:21" ht="24" x14ac:dyDescent="0.25">
      <c r="A15" s="537" t="s">
        <v>36</v>
      </c>
      <c r="B15" s="537" t="e">
        <f>_xlfn.XLOOKUP(A15,'Traçabilité et info patient'!$C$2:$AF$2,'Traçabilité et info patient'!$C$11:$AF$11)</f>
        <v>#N/A</v>
      </c>
      <c r="C15" s="537" t="e">
        <f>_xlfn.XLOOKUP(A15,'Traçabilité et info patient'!$C$2:$AF$2,'Traçabilité et info patient'!$C$9:$AF$9)</f>
        <v>#N/A</v>
      </c>
      <c r="D15" s="537">
        <f>_xlfn.XLOOKUP(A15,'Traçabilité et info patient'!$C$2:$AF$2,'Traçabilité et info patient'!$C$8:$AF$8)</f>
        <v>0</v>
      </c>
      <c r="E15" s="537" t="str" cm="1">
        <f t="array" ref="E15">IF(OR(INDEX('Traçabilité et info patient'!$C$38:$AF$38, ROW(A9))="oui", INDEX('Traçabilité et info patient'!$C$39:$AF$39, ROW(A9))="oui"), "Oui", "Non")</f>
        <v>Oui</v>
      </c>
      <c r="F15" s="537" t="str">
        <f ca="1">OFFSET('Traçabilité et info patient'!$C$93, 0, ROW(A9)-1)</f>
        <v>Oui</v>
      </c>
      <c r="G15" s="537" t="str">
        <f t="shared" ca="1" si="1"/>
        <v>Processus conforme</v>
      </c>
      <c r="H15" s="540">
        <f ca="1">OFFSET('Traçabilité et info patient'!$C$100, 0, ROW(A9)-1)</f>
        <v>0.1111111111111111</v>
      </c>
      <c r="I15" s="457"/>
      <c r="J15" s="457"/>
      <c r="K15" s="457"/>
      <c r="L15" s="457"/>
      <c r="M15" s="457"/>
    </row>
    <row r="16" spans="1:21" ht="24" x14ac:dyDescent="0.25">
      <c r="A16" s="537" t="s">
        <v>37</v>
      </c>
      <c r="B16" s="537" t="e">
        <f>_xlfn.XLOOKUP(A16,'Traçabilité et info patient'!$C$2:$AF$2,'Traçabilité et info patient'!$C$11:$AF$11)</f>
        <v>#N/A</v>
      </c>
      <c r="C16" s="537" t="e">
        <f>_xlfn.XLOOKUP(A16,'Traçabilité et info patient'!$C$2:$AF$2,'Traçabilité et info patient'!$C$9:$AF$9)</f>
        <v>#N/A</v>
      </c>
      <c r="D16" s="537">
        <f>_xlfn.XLOOKUP(A16,'Traçabilité et info patient'!$C$2:$AF$2,'Traçabilité et info patient'!$C$8:$AF$8)</f>
        <v>0</v>
      </c>
      <c r="E16" s="537" t="str" cm="1">
        <f t="array" ref="E16">IF(OR(INDEX('Traçabilité et info patient'!$C$38:$AF$38, ROW(A10))="oui", INDEX('Traçabilité et info patient'!$C$39:$AF$39, ROW(A10))="oui"), "Oui", "Non")</f>
        <v>Non</v>
      </c>
      <c r="F16" s="537" t="str">
        <f ca="1">OFFSET('Traçabilité et info patient'!$C$93, 0, ROW(A10)-1)</f>
        <v>Non</v>
      </c>
      <c r="G16" s="537" t="str">
        <f t="shared" ca="1" si="1"/>
        <v>Processus non conforme : Information non reçue &amp; non enregistrée dans le SI</v>
      </c>
      <c r="H16" s="540">
        <f ca="1">OFFSET('Traçabilité et info patient'!$C$100, 0, ROW(A10)-1)</f>
        <v>0</v>
      </c>
      <c r="I16" s="457"/>
      <c r="J16" s="457"/>
      <c r="K16" s="457"/>
      <c r="L16" s="457"/>
      <c r="M16" s="457"/>
    </row>
    <row r="17" spans="1:13" ht="24" x14ac:dyDescent="0.25">
      <c r="A17" s="537" t="s">
        <v>38</v>
      </c>
      <c r="B17" s="537" t="e">
        <f>_xlfn.XLOOKUP(A17,'Traçabilité et info patient'!$C$2:$AF$2,'Traçabilité et info patient'!$C$11:$AF$11)</f>
        <v>#N/A</v>
      </c>
      <c r="C17" s="537" t="e">
        <f>_xlfn.XLOOKUP(A17,'Traçabilité et info patient'!$C$2:$AF$2,'Traçabilité et info patient'!$C$9:$AF$9)</f>
        <v>#N/A</v>
      </c>
      <c r="D17" s="537">
        <f>_xlfn.XLOOKUP(A17,'Traçabilité et info patient'!$C$2:$AF$2,'Traçabilité et info patient'!$C$8:$AF$8)</f>
        <v>0</v>
      </c>
      <c r="E17" s="537" t="str" cm="1">
        <f t="array" ref="E17">IF(OR(INDEX('Traçabilité et info patient'!$C$38:$AF$38, ROW(A11))="oui", INDEX('Traçabilité et info patient'!$C$39:$AF$39, ROW(A11))="oui"), "Oui", "Non")</f>
        <v>Oui</v>
      </c>
      <c r="F17" s="537" t="str">
        <f ca="1">OFFSET('Traçabilité et info patient'!$C$93, 0, ROW(A11)-1)</f>
        <v>Oui</v>
      </c>
      <c r="G17" s="537" t="str">
        <f t="shared" ca="1" si="1"/>
        <v>Processus conforme</v>
      </c>
      <c r="H17" s="540">
        <f ca="1">OFFSET('Traçabilité et info patient'!$C$100, 0, ROW(A11)-1)</f>
        <v>0.1111111111111111</v>
      </c>
      <c r="I17" s="457"/>
      <c r="J17" s="457"/>
      <c r="K17" s="457"/>
      <c r="L17" s="457"/>
      <c r="M17" s="457"/>
    </row>
    <row r="18" spans="1:13" ht="24" x14ac:dyDescent="0.25">
      <c r="A18" s="537" t="s">
        <v>39</v>
      </c>
      <c r="B18" s="537" t="e">
        <f>_xlfn.XLOOKUP(A18,'Traçabilité et info patient'!$C$2:$AF$2,'Traçabilité et info patient'!$C$11:$AF$11)</f>
        <v>#N/A</v>
      </c>
      <c r="C18" s="537" t="e">
        <f>_xlfn.XLOOKUP(A18,'Traçabilité et info patient'!$C$2:$AF$2,'Traçabilité et info patient'!$C$9:$AF$9)</f>
        <v>#N/A</v>
      </c>
      <c r="D18" s="537">
        <f>_xlfn.XLOOKUP(A18,'Traçabilité et info patient'!$C$2:$AF$2,'Traçabilité et info patient'!$C$8:$AF$8)</f>
        <v>0</v>
      </c>
      <c r="E18" s="537" t="str" cm="1">
        <f t="array" ref="E18">IF(OR(INDEX('Traçabilité et info patient'!$C$38:$AF$38, ROW(A12))="oui", INDEX('Traçabilité et info patient'!$C$39:$AF$39, ROW(A12))="oui"), "Oui", "Non")</f>
        <v>Non</v>
      </c>
      <c r="F18" s="537" t="str">
        <f ca="1">OFFSET('Traçabilité et info patient'!$C$93, 0, ROW(A12)-1)</f>
        <v>Non</v>
      </c>
      <c r="G18" s="537" t="str">
        <f t="shared" ca="1" si="1"/>
        <v>Processus non conforme : Information non reçue &amp; non enregistrée dans le SI</v>
      </c>
      <c r="H18" s="540">
        <f ca="1">OFFSET('Traçabilité et info patient'!$C$100, 0, ROW(A12)-1)</f>
        <v>0</v>
      </c>
      <c r="I18" s="457"/>
      <c r="J18" s="457"/>
      <c r="K18" s="457"/>
      <c r="L18" s="457"/>
      <c r="M18" s="457"/>
    </row>
    <row r="19" spans="1:13" x14ac:dyDescent="0.25">
      <c r="A19" s="537" t="s">
        <v>40</v>
      </c>
      <c r="B19" s="537" t="e">
        <f>_xlfn.XLOOKUP(A19,'Traçabilité et info patient'!$C$2:$AF$2,'Traçabilité et info patient'!$C$11:$AF$11)</f>
        <v>#N/A</v>
      </c>
      <c r="C19" s="537" t="e">
        <f>_xlfn.XLOOKUP(A19,'Traçabilité et info patient'!$C$2:$AF$2,'Traçabilité et info patient'!$C$9:$AF$9)</f>
        <v>#N/A</v>
      </c>
      <c r="D19" s="537">
        <f>_xlfn.XLOOKUP(A19,'Traçabilité et info patient'!$C$2:$AF$2,'Traçabilité et info patient'!$C$8:$AF$8)</f>
        <v>0</v>
      </c>
      <c r="E19" s="537" t="str" cm="1">
        <f t="array" ref="E19">IF(OR(INDEX('Traçabilité et info patient'!$C$38:$AF$38, ROW(A13))="oui", INDEX('Traçabilité et info patient'!$C$39:$AF$39, ROW(A13))="oui"), "Oui", "Non")</f>
        <v>Oui</v>
      </c>
      <c r="F19" s="537" t="str">
        <f ca="1">OFFSET('Traçabilité et info patient'!$C$93, 0, ROW(A13)-1)</f>
        <v>Oui</v>
      </c>
      <c r="G19" s="537" t="str">
        <f t="shared" ca="1" si="1"/>
        <v>Processus conforme</v>
      </c>
      <c r="H19" s="540">
        <f ca="1">OFFSET('Traçabilité et info patient'!$C$100, 0, ROW(A13)-1)</f>
        <v>0.1111111111111111</v>
      </c>
      <c r="I19" s="457"/>
      <c r="J19" s="457"/>
      <c r="K19" s="457"/>
      <c r="L19" s="457"/>
      <c r="M19" s="457"/>
    </row>
    <row r="20" spans="1:13" x14ac:dyDescent="0.25">
      <c r="A20" s="537" t="s">
        <v>41</v>
      </c>
      <c r="B20" s="537" t="e">
        <f>_xlfn.XLOOKUP(A20,'Traçabilité et info patient'!$C$2:$AF$2,'Traçabilité et info patient'!$C$11:$AF$11)</f>
        <v>#N/A</v>
      </c>
      <c r="C20" s="537" t="e">
        <f>_xlfn.XLOOKUP(A20,'Traçabilité et info patient'!$C$2:$AF$2,'Traçabilité et info patient'!$C$9:$AF$9)</f>
        <v>#N/A</v>
      </c>
      <c r="D20" s="537">
        <f>_xlfn.XLOOKUP(A20,'Traçabilité et info patient'!$C$2:$AF$2,'Traçabilité et info patient'!$C$8:$AF$8)</f>
        <v>0</v>
      </c>
      <c r="E20" s="537" t="str" cm="1">
        <f t="array" ref="E20">IF(OR(INDEX('Traçabilité et info patient'!$C$38:$AF$38, ROW(A14))="oui", INDEX('Traçabilité et info patient'!$C$39:$AF$39, ROW(A14))="oui"), "Oui", "Non")</f>
        <v>Non</v>
      </c>
      <c r="F20" s="537" t="str">
        <f ca="1">OFFSET('Traçabilité et info patient'!$C$93, 0, ROW(A14)-1)</f>
        <v>Non</v>
      </c>
      <c r="G20" s="537" t="str">
        <f t="shared" ca="1" si="1"/>
        <v>Processus non conforme : Information non reçue &amp; non enregistrée dans le SI</v>
      </c>
      <c r="H20" s="540">
        <f ca="1">OFFSET('Traçabilité et info patient'!$C$100, 0, ROW(A14)-1)</f>
        <v>0</v>
      </c>
      <c r="I20" s="457"/>
      <c r="J20" s="457"/>
      <c r="K20" s="457"/>
      <c r="L20" s="457"/>
      <c r="M20" s="457"/>
    </row>
    <row r="21" spans="1:13" x14ac:dyDescent="0.25">
      <c r="A21" s="537" t="s">
        <v>42</v>
      </c>
      <c r="B21" s="537" t="e">
        <f>_xlfn.XLOOKUP(A21,'Traçabilité et info patient'!$C$2:$AF$2,'Traçabilité et info patient'!$C$11:$AF$11)</f>
        <v>#N/A</v>
      </c>
      <c r="C21" s="537" t="e">
        <f>_xlfn.XLOOKUP(A21,'Traçabilité et info patient'!$C$2:$AF$2,'Traçabilité et info patient'!$C$9:$AF$9)</f>
        <v>#N/A</v>
      </c>
      <c r="D21" s="537">
        <f>_xlfn.XLOOKUP(A21,'Traçabilité et info patient'!$C$2:$AF$2,'Traçabilité et info patient'!$C$8:$AF$8)</f>
        <v>0</v>
      </c>
      <c r="E21" s="537" t="str" cm="1">
        <f t="array" ref="E21">IF(OR(INDEX('Traçabilité et info patient'!$C$38:$AF$38, ROW(A15))="oui", INDEX('Traçabilité et info patient'!$C$39:$AF$39, ROW(A15))="oui"), "Oui", "Non")</f>
        <v>Oui</v>
      </c>
      <c r="F21" s="537" t="str">
        <f ca="1">OFFSET('Traçabilité et info patient'!$C$93, 0, ROW(A15)-1)</f>
        <v>Oui</v>
      </c>
      <c r="G21" s="537" t="str">
        <f t="shared" ca="1" si="1"/>
        <v>Processus conforme</v>
      </c>
      <c r="H21" s="540">
        <f ca="1">OFFSET('Traçabilité et info patient'!$C$100, 0, ROW(A15)-1)</f>
        <v>0.1111111111111111</v>
      </c>
      <c r="I21" s="457"/>
      <c r="J21" s="457"/>
      <c r="K21" s="457"/>
      <c r="L21" s="457"/>
      <c r="M21" s="457"/>
    </row>
    <row r="22" spans="1:13" x14ac:dyDescent="0.25">
      <c r="A22" s="537" t="s">
        <v>43</v>
      </c>
      <c r="B22" s="537" t="e">
        <f>_xlfn.XLOOKUP(A22,'Traçabilité et info patient'!$C$2:$AF$2,'Traçabilité et info patient'!$C$11:$AF$11)</f>
        <v>#N/A</v>
      </c>
      <c r="C22" s="537" t="e">
        <f>_xlfn.XLOOKUP(A22,'Traçabilité et info patient'!$C$2:$AF$2,'Traçabilité et info patient'!$C$9:$AF$9)</f>
        <v>#N/A</v>
      </c>
      <c r="D22" s="537">
        <f>_xlfn.XLOOKUP(A22,'Traçabilité et info patient'!$C$2:$AF$2,'Traçabilité et info patient'!$C$8:$AF$8)</f>
        <v>0</v>
      </c>
      <c r="E22" s="537" t="str" cm="1">
        <f t="array" ref="E22">IF(OR(INDEX('Traçabilité et info patient'!$C$38:$AF$38, ROW(A16))="oui", INDEX('Traçabilité et info patient'!$C$39:$AF$39, ROW(A16))="oui"), "Oui", "Non")</f>
        <v>Non</v>
      </c>
      <c r="F22" s="537" t="str">
        <f ca="1">OFFSET('Traçabilité et info patient'!$C$93, 0, ROW(A16)-1)</f>
        <v>Non</v>
      </c>
      <c r="G22" s="537" t="str">
        <f t="shared" ca="1" si="1"/>
        <v>Processus non conforme : Information non reçue &amp; non enregistrée dans le SI</v>
      </c>
      <c r="H22" s="540">
        <f ca="1">OFFSET('Traçabilité et info patient'!$C$100, 0, ROW(A16)-1)</f>
        <v>0</v>
      </c>
      <c r="I22" s="457"/>
      <c r="J22" s="457"/>
      <c r="K22" s="457"/>
      <c r="L22" s="457"/>
      <c r="M22" s="457"/>
    </row>
    <row r="23" spans="1:13" x14ac:dyDescent="0.25">
      <c r="A23" s="537" t="s">
        <v>44</v>
      </c>
      <c r="B23" s="537" t="e">
        <f>_xlfn.XLOOKUP(A23,'Traçabilité et info patient'!$C$2:$AF$2,'Traçabilité et info patient'!$C$11:$AF$11)</f>
        <v>#N/A</v>
      </c>
      <c r="C23" s="537" t="e">
        <f>_xlfn.XLOOKUP(A23,'Traçabilité et info patient'!$C$2:$AF$2,'Traçabilité et info patient'!$C$9:$AF$9)</f>
        <v>#N/A</v>
      </c>
      <c r="D23" s="537">
        <f>_xlfn.XLOOKUP(A23,'Traçabilité et info patient'!$C$2:$AF$2,'Traçabilité et info patient'!$C$8:$AF$8)</f>
        <v>0</v>
      </c>
      <c r="E23" s="537" t="str" cm="1">
        <f t="array" ref="E23">IF(OR(INDEX('Traçabilité et info patient'!$C$38:$AF$38, ROW(A17))="oui", INDEX('Traçabilité et info patient'!$C$39:$AF$39, ROW(A17))="oui"), "Oui", "Non")</f>
        <v>Oui</v>
      </c>
      <c r="F23" s="537" t="str">
        <f ca="1">OFFSET('Traçabilité et info patient'!$C$93, 0, ROW(A17)-1)</f>
        <v>Oui</v>
      </c>
      <c r="G23" s="537" t="str">
        <f t="shared" ca="1" si="1"/>
        <v>Processus conforme</v>
      </c>
      <c r="H23" s="540">
        <f ca="1">OFFSET('Traçabilité et info patient'!$C$100, 0, ROW(A17)-1)</f>
        <v>0.1111111111111111</v>
      </c>
      <c r="I23" s="457"/>
      <c r="J23" s="457"/>
      <c r="K23" s="457"/>
      <c r="L23" s="457"/>
      <c r="M23" s="457"/>
    </row>
    <row r="24" spans="1:13" x14ac:dyDescent="0.25">
      <c r="A24" s="537" t="s">
        <v>45</v>
      </c>
      <c r="B24" s="537" t="e">
        <f>_xlfn.XLOOKUP(A24,'Traçabilité et info patient'!$C$2:$AF$2,'Traçabilité et info patient'!$C$11:$AF$11)</f>
        <v>#N/A</v>
      </c>
      <c r="C24" s="537" t="e">
        <f>_xlfn.XLOOKUP(A24,'Traçabilité et info patient'!$C$2:$AF$2,'Traçabilité et info patient'!$C$9:$AF$9)</f>
        <v>#N/A</v>
      </c>
      <c r="D24" s="537">
        <f>_xlfn.XLOOKUP(A24,'Traçabilité et info patient'!$C$2:$AF$2,'Traçabilité et info patient'!$C$8:$AF$8)</f>
        <v>0</v>
      </c>
      <c r="E24" s="537" t="str" cm="1">
        <f t="array" ref="E24">IF(OR(INDEX('Traçabilité et info patient'!$C$38:$AF$38, ROW(A18))="oui", INDEX('Traçabilité et info patient'!$C$39:$AF$39, ROW(A18))="oui"), "Oui", "Non")</f>
        <v>Non</v>
      </c>
      <c r="F24" s="537" t="str">
        <f ca="1">OFFSET('Traçabilité et info patient'!$C$93, 0, ROW(A18)-1)</f>
        <v>Non</v>
      </c>
      <c r="G24" s="537" t="str">
        <f t="shared" ca="1" si="1"/>
        <v>Processus non conforme : Information non reçue &amp; non enregistrée dans le SI</v>
      </c>
      <c r="H24" s="540">
        <f ca="1">OFFSET('Traçabilité et info patient'!$C$100, 0, ROW(A18)-1)</f>
        <v>0</v>
      </c>
      <c r="I24" s="457"/>
      <c r="J24" s="457"/>
      <c r="K24" s="457"/>
      <c r="L24" s="457"/>
      <c r="M24" s="457"/>
    </row>
    <row r="25" spans="1:13" ht="24" x14ac:dyDescent="0.25">
      <c r="A25" s="537" t="s">
        <v>46</v>
      </c>
      <c r="B25" s="537" t="e">
        <f>_xlfn.XLOOKUP(A25,'Traçabilité et info patient'!$C$2:$AF$2,'Traçabilité et info patient'!$C$11:$AF$11)</f>
        <v>#N/A</v>
      </c>
      <c r="C25" s="537" t="e">
        <f>_xlfn.XLOOKUP(A25,'Traçabilité et info patient'!$C$2:$AF$2,'Traçabilité et info patient'!$C$9:$AF$9)</f>
        <v>#N/A</v>
      </c>
      <c r="D25" s="537">
        <f>_xlfn.XLOOKUP(A25,'Traçabilité et info patient'!$C$2:$AF$2,'Traçabilité et info patient'!$C$8:$AF$8)</f>
        <v>0</v>
      </c>
      <c r="E25" s="537" t="str" cm="1">
        <f t="array" ref="E25">IF(OR(INDEX('Traçabilité et info patient'!$C$38:$AF$38, ROW(A19))="oui", INDEX('Traçabilité et info patient'!$C$39:$AF$39, ROW(A19))="oui"), "Oui", "Non")</f>
        <v>Oui</v>
      </c>
      <c r="F25" s="537" t="str">
        <f ca="1">OFFSET('Traçabilité et info patient'!$C$93, 0, ROW(A19)-1)</f>
        <v>Oui</v>
      </c>
      <c r="G25" s="537" t="str">
        <f t="shared" ca="1" si="1"/>
        <v>Processus conforme</v>
      </c>
      <c r="H25" s="540">
        <f ca="1">OFFSET('Traçabilité et info patient'!$C$100, 0, ROW(A19)-1)</f>
        <v>0.1111111111111111</v>
      </c>
      <c r="I25" s="457"/>
      <c r="J25" s="457"/>
      <c r="K25" s="457"/>
      <c r="L25" s="457"/>
      <c r="M25" s="457"/>
    </row>
    <row r="26" spans="1:13" ht="24" x14ac:dyDescent="0.25">
      <c r="A26" s="537" t="s">
        <v>47</v>
      </c>
      <c r="B26" s="537" t="e">
        <f>_xlfn.XLOOKUP(A26,'Traçabilité et info patient'!$C$2:$AF$2,'Traçabilité et info patient'!$C$11:$AF$11)</f>
        <v>#N/A</v>
      </c>
      <c r="C26" s="537" t="e">
        <f>_xlfn.XLOOKUP(A26,'Traçabilité et info patient'!$C$2:$AF$2,'Traçabilité et info patient'!$C$9:$AF$9)</f>
        <v>#N/A</v>
      </c>
      <c r="D26" s="537">
        <f>_xlfn.XLOOKUP(A26,'Traçabilité et info patient'!$C$2:$AF$2,'Traçabilité et info patient'!$C$8:$AF$8)</f>
        <v>0</v>
      </c>
      <c r="E26" s="537" t="str" cm="1">
        <f t="array" ref="E26">IF(OR(INDEX('Traçabilité et info patient'!$C$38:$AF$38, ROW(A20))="oui", INDEX('Traçabilité et info patient'!$C$39:$AF$39, ROW(A20))="oui"), "Oui", "Non")</f>
        <v>Non</v>
      </c>
      <c r="F26" s="537" t="str">
        <f ca="1">OFFSET('Traçabilité et info patient'!$C$93, 0, ROW(A20)-1)</f>
        <v>Non</v>
      </c>
      <c r="G26" s="537" t="str">
        <f t="shared" ca="1" si="1"/>
        <v>Processus non conforme : Information non reçue &amp; non enregistrée dans le SI</v>
      </c>
      <c r="H26" s="540">
        <f ca="1">OFFSET('Traçabilité et info patient'!$C$100, 0, ROW(A20)-1)</f>
        <v>0</v>
      </c>
      <c r="I26" s="457"/>
      <c r="J26" s="457"/>
      <c r="K26" s="457"/>
      <c r="L26" s="457"/>
      <c r="M26" s="457"/>
    </row>
    <row r="27" spans="1:13" ht="24" x14ac:dyDescent="0.25">
      <c r="A27" s="537" t="s">
        <v>48</v>
      </c>
      <c r="B27" s="537" t="e">
        <f>_xlfn.XLOOKUP(A27,'Traçabilité et info patient'!$C$2:$AF$2,'Traçabilité et info patient'!$C$11:$AF$11)</f>
        <v>#N/A</v>
      </c>
      <c r="C27" s="537" t="e">
        <f>_xlfn.XLOOKUP(A27,'Traçabilité et info patient'!$C$2:$AF$2,'Traçabilité et info patient'!$C$9:$AF$9)</f>
        <v>#N/A</v>
      </c>
      <c r="D27" s="537">
        <f>_xlfn.XLOOKUP(A27,'Traçabilité et info patient'!$C$2:$AF$2,'Traçabilité et info patient'!$C$8:$AF$8)</f>
        <v>0</v>
      </c>
      <c r="E27" s="537" t="str" cm="1">
        <f t="array" ref="E27">IF(OR(INDEX('Traçabilité et info patient'!$C$38:$AF$38, ROW(A21))="oui", INDEX('Traçabilité et info patient'!$C$39:$AF$39, ROW(A21))="oui"), "Oui", "Non")</f>
        <v>Oui</v>
      </c>
      <c r="F27" s="537" t="str">
        <f ca="1">OFFSET('Traçabilité et info patient'!$C$93, 0, ROW(A21)-1)</f>
        <v>Oui</v>
      </c>
      <c r="G27" s="537" t="str">
        <f t="shared" ca="1" si="1"/>
        <v>Processus conforme</v>
      </c>
      <c r="H27" s="540">
        <f ca="1">OFFSET('Traçabilité et info patient'!$C$100, 0, ROW(A21)-1)</f>
        <v>0.1111111111111111</v>
      </c>
      <c r="I27" s="457"/>
      <c r="J27" s="457"/>
      <c r="K27" s="457"/>
      <c r="L27" s="457"/>
      <c r="M27" s="457"/>
    </row>
    <row r="28" spans="1:13" x14ac:dyDescent="0.25">
      <c r="A28" s="537" t="s">
        <v>49</v>
      </c>
      <c r="B28" s="537" t="e">
        <f>_xlfn.XLOOKUP(A28,'Traçabilité et info patient'!$C$2:$AF$2,'Traçabilité et info patient'!$C$11:$AF$11)</f>
        <v>#N/A</v>
      </c>
      <c r="C28" s="537" t="e">
        <f>_xlfn.XLOOKUP(A28,'Traçabilité et info patient'!$C$2:$AF$2,'Traçabilité et info patient'!$C$9:$AF$9)</f>
        <v>#N/A</v>
      </c>
      <c r="D28" s="537">
        <f>_xlfn.XLOOKUP(A28,'Traçabilité et info patient'!$C$2:$AF$2,'Traçabilité et info patient'!$C$8:$AF$8)</f>
        <v>0</v>
      </c>
      <c r="E28" s="537" t="str" cm="1">
        <f t="array" ref="E28">IF(OR(INDEX('Traçabilité et info patient'!$C$38:$AF$38, ROW(A22))="oui", INDEX('Traçabilité et info patient'!$C$39:$AF$39, ROW(A22))="oui"), "Oui", "Non")</f>
        <v>Non</v>
      </c>
      <c r="F28" s="537" t="str">
        <f ca="1">OFFSET('Traçabilité et info patient'!$C$93, 0, ROW(A22)-1)</f>
        <v>Non</v>
      </c>
      <c r="G28" s="537" t="str">
        <f t="shared" ca="1" si="1"/>
        <v>Processus non conforme : Information non reçue &amp; non enregistrée dans le SI</v>
      </c>
      <c r="H28" s="540">
        <f ca="1">OFFSET('Traçabilité et info patient'!$C$100, 0, ROW(A22)-1)</f>
        <v>0</v>
      </c>
      <c r="I28" s="457"/>
      <c r="J28" s="457"/>
      <c r="K28" s="457"/>
      <c r="L28" s="457"/>
      <c r="M28" s="457"/>
    </row>
    <row r="29" spans="1:13" x14ac:dyDescent="0.25">
      <c r="A29" s="537" t="s">
        <v>50</v>
      </c>
      <c r="B29" s="537" t="e">
        <f>_xlfn.XLOOKUP(A29,'Traçabilité et info patient'!$C$2:$AF$2,'Traçabilité et info patient'!$C$11:$AF$11)</f>
        <v>#N/A</v>
      </c>
      <c r="C29" s="537" t="e">
        <f>_xlfn.XLOOKUP(A29,'Traçabilité et info patient'!$C$2:$AF$2,'Traçabilité et info patient'!$C$9:$AF$9)</f>
        <v>#N/A</v>
      </c>
      <c r="D29" s="537">
        <f>_xlfn.XLOOKUP(A29,'Traçabilité et info patient'!$C$2:$AF$2,'Traçabilité et info patient'!$C$8:$AF$8)</f>
        <v>0</v>
      </c>
      <c r="E29" s="537" t="str" cm="1">
        <f t="array" ref="E29">IF(OR(INDEX('Traçabilité et info patient'!$C$38:$AF$38, ROW(A23))="oui", INDEX('Traçabilité et info patient'!$C$39:$AF$39, ROW(A23))="oui"), "Oui", "Non")</f>
        <v>Oui</v>
      </c>
      <c r="F29" s="537" t="str">
        <f ca="1">OFFSET('Traçabilité et info patient'!$C$93, 0, ROW(A23)-1)</f>
        <v>Oui</v>
      </c>
      <c r="G29" s="537" t="str">
        <f t="shared" ca="1" si="1"/>
        <v>Processus conforme</v>
      </c>
      <c r="H29" s="540">
        <f ca="1">OFFSET('Traçabilité et info patient'!$C$100, 0, ROW(A23)-1)</f>
        <v>0.1111111111111111</v>
      </c>
      <c r="I29" s="457"/>
      <c r="J29" s="457"/>
      <c r="K29" s="457"/>
      <c r="L29" s="457"/>
      <c r="M29" s="457"/>
    </row>
    <row r="30" spans="1:13" x14ac:dyDescent="0.25">
      <c r="A30" s="537" t="s">
        <v>51</v>
      </c>
      <c r="B30" s="537" t="e">
        <f>_xlfn.XLOOKUP(A30,'Traçabilité et info patient'!$C$2:$AF$2,'Traçabilité et info patient'!$C$11:$AF$11)</f>
        <v>#N/A</v>
      </c>
      <c r="C30" s="537" t="e">
        <f>_xlfn.XLOOKUP(A30,'Traçabilité et info patient'!$C$2:$AF$2,'Traçabilité et info patient'!$C$9:$AF$9)</f>
        <v>#N/A</v>
      </c>
      <c r="D30" s="537">
        <f>_xlfn.XLOOKUP(A30,'Traçabilité et info patient'!$C$2:$AF$2,'Traçabilité et info patient'!$C$8:$AF$8)</f>
        <v>0</v>
      </c>
      <c r="E30" s="537" t="str" cm="1">
        <f t="array" ref="E30">IF(OR(INDEX('Traçabilité et info patient'!$C$38:$AF$38, ROW(A24))="oui", INDEX('Traçabilité et info patient'!$C$39:$AF$39, ROW(A24))="oui"), "Oui", "Non")</f>
        <v>Non</v>
      </c>
      <c r="F30" s="537" t="str">
        <f ca="1">OFFSET('Traçabilité et info patient'!$C$93, 0, ROW(A24)-1)</f>
        <v>Non</v>
      </c>
      <c r="G30" s="537" t="str">
        <f t="shared" ca="1" si="1"/>
        <v>Processus non conforme : Information non reçue &amp; non enregistrée dans le SI</v>
      </c>
      <c r="H30" s="540">
        <f ca="1">OFFSET('Traçabilité et info patient'!$C$100, 0, ROW(A24)-1)</f>
        <v>0</v>
      </c>
      <c r="I30" s="457"/>
      <c r="J30" s="457"/>
      <c r="K30" s="457"/>
      <c r="L30" s="457"/>
      <c r="M30" s="457"/>
    </row>
    <row r="31" spans="1:13" x14ac:dyDescent="0.25">
      <c r="A31" s="537" t="s">
        <v>52</v>
      </c>
      <c r="B31" s="537" t="e">
        <f>_xlfn.XLOOKUP(A31,'Traçabilité et info patient'!$C$2:$AF$2,'Traçabilité et info patient'!$C$11:$AF$11)</f>
        <v>#N/A</v>
      </c>
      <c r="C31" s="537" t="e">
        <f>_xlfn.XLOOKUP(A31,'Traçabilité et info patient'!$C$2:$AF$2,'Traçabilité et info patient'!$C$9:$AF$9)</f>
        <v>#N/A</v>
      </c>
      <c r="D31" s="537">
        <f>_xlfn.XLOOKUP(A31,'Traçabilité et info patient'!$C$2:$AF$2,'Traçabilité et info patient'!$C$8:$AF$8)</f>
        <v>0</v>
      </c>
      <c r="E31" s="537" t="str" cm="1">
        <f t="array" ref="E31">IF(OR(INDEX('Traçabilité et info patient'!$C$38:$AF$38, ROW(A25))="oui", INDEX('Traçabilité et info patient'!$C$39:$AF$39, ROW(A25))="oui"), "Oui", "Non")</f>
        <v>Oui</v>
      </c>
      <c r="F31" s="537" t="str">
        <f ca="1">OFFSET('Traçabilité et info patient'!$C$93, 0, ROW(A25)-1)</f>
        <v>Oui</v>
      </c>
      <c r="G31" s="537" t="str">
        <f t="shared" ca="1" si="1"/>
        <v>Processus conforme</v>
      </c>
      <c r="H31" s="540">
        <f ca="1">OFFSET('Traçabilité et info patient'!$C$100, 0, ROW(A25)-1)</f>
        <v>0.1111111111111111</v>
      </c>
      <c r="I31" s="457"/>
      <c r="J31" s="457"/>
      <c r="K31" s="457"/>
      <c r="L31" s="457"/>
      <c r="M31" s="457"/>
    </row>
    <row r="32" spans="1:13" x14ac:dyDescent="0.25">
      <c r="A32" s="537" t="s">
        <v>53</v>
      </c>
      <c r="B32" s="537" t="e">
        <f>_xlfn.XLOOKUP(A32,'Traçabilité et info patient'!$C$2:$AF$2,'Traçabilité et info patient'!$C$11:$AF$11)</f>
        <v>#N/A</v>
      </c>
      <c r="C32" s="537" t="e">
        <f>_xlfn.XLOOKUP(A32,'Traçabilité et info patient'!$C$2:$AF$2,'Traçabilité et info patient'!$C$9:$AF$9)</f>
        <v>#N/A</v>
      </c>
      <c r="D32" s="537">
        <f>_xlfn.XLOOKUP(A32,'Traçabilité et info patient'!$C$2:$AF$2,'Traçabilité et info patient'!$C$8:$AF$8)</f>
        <v>0</v>
      </c>
      <c r="E32" s="537" t="str" cm="1">
        <f t="array" ref="E32">IF(OR(INDEX('Traçabilité et info patient'!$C$38:$AF$38, ROW(A26))="oui", INDEX('Traçabilité et info patient'!$C$39:$AF$39, ROW(A26))="oui"), "Oui", "Non")</f>
        <v>Non</v>
      </c>
      <c r="F32" s="537" t="str">
        <f ca="1">OFFSET('Traçabilité et info patient'!$C$93, 0, ROW(A26)-1)</f>
        <v>Non</v>
      </c>
      <c r="G32" s="537" t="str">
        <f t="shared" ca="1" si="1"/>
        <v>Processus non conforme : Information non reçue &amp; non enregistrée dans le SI</v>
      </c>
      <c r="H32" s="540">
        <f ca="1">OFFSET('Traçabilité et info patient'!$C$100, 0, ROW(A26)-1)</f>
        <v>0</v>
      </c>
      <c r="I32" s="457"/>
      <c r="J32" s="457"/>
      <c r="K32" s="457"/>
      <c r="L32" s="457"/>
      <c r="M32" s="457"/>
    </row>
    <row r="33" spans="1:13" x14ac:dyDescent="0.25">
      <c r="A33" s="537" t="s">
        <v>54</v>
      </c>
      <c r="B33" s="537" t="e">
        <f>_xlfn.XLOOKUP(A33,'Traçabilité et info patient'!$C$2:$AF$2,'Traçabilité et info patient'!$C$11:$AF$11)</f>
        <v>#N/A</v>
      </c>
      <c r="C33" s="537" t="e">
        <f>_xlfn.XLOOKUP(A33,'Traçabilité et info patient'!$C$2:$AF$2,'Traçabilité et info patient'!$C$9:$AF$9)</f>
        <v>#N/A</v>
      </c>
      <c r="D33" s="537">
        <f>_xlfn.XLOOKUP(A33,'Traçabilité et info patient'!$C$2:$AF$2,'Traçabilité et info patient'!$C$8:$AF$8)</f>
        <v>0</v>
      </c>
      <c r="E33" s="537" t="str" cm="1">
        <f t="array" ref="E33">IF(OR(INDEX('Traçabilité et info patient'!$C$38:$AF$38, ROW(A27))="oui", INDEX('Traçabilité et info patient'!$C$39:$AF$39, ROW(A27))="oui"), "Oui", "Non")</f>
        <v>Oui</v>
      </c>
      <c r="F33" s="537" t="str">
        <f ca="1">OFFSET('Traçabilité et info patient'!$C$93, 0, ROW(A27)-1)</f>
        <v>Oui</v>
      </c>
      <c r="G33" s="537" t="str">
        <f t="shared" ca="1" si="1"/>
        <v>Processus conforme</v>
      </c>
      <c r="H33" s="540">
        <f ca="1">OFFSET('Traçabilité et info patient'!$C$100, 0, ROW(A27)-1)</f>
        <v>0.1111111111111111</v>
      </c>
      <c r="I33" s="457"/>
      <c r="J33" s="457"/>
      <c r="K33" s="457"/>
      <c r="L33" s="457"/>
      <c r="M33" s="457"/>
    </row>
    <row r="34" spans="1:13" x14ac:dyDescent="0.25">
      <c r="A34" s="537" t="s">
        <v>55</v>
      </c>
      <c r="B34" s="537" t="e">
        <f>_xlfn.XLOOKUP(A34,'Traçabilité et info patient'!$C$2:$AF$2,'Traçabilité et info patient'!$C$11:$AF$11)</f>
        <v>#N/A</v>
      </c>
      <c r="C34" s="537" t="e">
        <f>_xlfn.XLOOKUP(A34,'Traçabilité et info patient'!$C$2:$AF$2,'Traçabilité et info patient'!$C$9:$AF$9)</f>
        <v>#N/A</v>
      </c>
      <c r="D34" s="537">
        <f>_xlfn.XLOOKUP(A34,'Traçabilité et info patient'!$C$2:$AF$2,'Traçabilité et info patient'!$C$8:$AF$8)</f>
        <v>0</v>
      </c>
      <c r="E34" s="537" t="str" cm="1">
        <f t="array" ref="E34">IF(OR(INDEX('Traçabilité et info patient'!$C$38:$AF$38, ROW(A28))="oui", INDEX('Traçabilité et info patient'!$C$39:$AF$39, ROW(A28))="oui"), "Oui", "Non")</f>
        <v>Non</v>
      </c>
      <c r="F34" s="537" t="str">
        <f ca="1">OFFSET('Traçabilité et info patient'!$C$93, 0, ROW(A28)-1)</f>
        <v>Non</v>
      </c>
      <c r="G34" s="537" t="str">
        <f t="shared" ca="1" si="1"/>
        <v>Processus non conforme : Information non reçue &amp; non enregistrée dans le SI</v>
      </c>
      <c r="H34" s="540">
        <f ca="1">OFFSET('Traçabilité et info patient'!$C$100, 0, ROW(A28)-1)</f>
        <v>0</v>
      </c>
      <c r="I34" s="457"/>
      <c r="J34" s="457"/>
      <c r="K34" s="457"/>
      <c r="L34" s="457"/>
      <c r="M34" s="457"/>
    </row>
    <row r="35" spans="1:13" x14ac:dyDescent="0.25">
      <c r="A35" s="537" t="s">
        <v>56</v>
      </c>
      <c r="B35" s="537" t="e">
        <f>_xlfn.XLOOKUP(A35,'Traçabilité et info patient'!$C$2:$AF$2,'Traçabilité et info patient'!$C$11:$AF$11)</f>
        <v>#N/A</v>
      </c>
      <c r="C35" s="537" t="e">
        <f>_xlfn.XLOOKUP(A35,'Traçabilité et info patient'!$C$2:$AF$2,'Traçabilité et info patient'!$C$9:$AF$9)</f>
        <v>#N/A</v>
      </c>
      <c r="D35" s="537">
        <f>_xlfn.XLOOKUP(A35,'Traçabilité et info patient'!$C$2:$AF$2,'Traçabilité et info patient'!$C$8:$AF$8)</f>
        <v>0</v>
      </c>
      <c r="E35" s="537" t="str" cm="1">
        <f t="array" ref="E35">IF(OR(INDEX('Traçabilité et info patient'!$C$38:$AF$38, ROW(A29))="oui", INDEX('Traçabilité et info patient'!$C$39:$AF$39, ROW(A29))="oui"), "Oui", "Non")</f>
        <v>Oui</v>
      </c>
      <c r="F35" s="537" t="str">
        <f ca="1">OFFSET('Traçabilité et info patient'!$C$93, 0, ROW(A29)-1)</f>
        <v>Oui</v>
      </c>
      <c r="G35" s="537" t="str">
        <f t="shared" ca="1" si="1"/>
        <v>Processus conforme</v>
      </c>
      <c r="H35" s="540">
        <f ca="1">OFFSET('Traçabilité et info patient'!$C$100, 0, ROW(A29)-1)</f>
        <v>0.1111111111111111</v>
      </c>
      <c r="I35" s="457"/>
      <c r="J35" s="457"/>
      <c r="K35" s="457"/>
      <c r="L35" s="457"/>
      <c r="M35" s="457"/>
    </row>
    <row r="36" spans="1:13" x14ac:dyDescent="0.25">
      <c r="A36" s="537" t="s">
        <v>57</v>
      </c>
      <c r="B36" s="537" t="e">
        <f>_xlfn.XLOOKUP(A36,'Traçabilité et info patient'!$C$2:$AF$2,'Traçabilité et info patient'!$C$11:$AF$11)</f>
        <v>#N/A</v>
      </c>
      <c r="C36" s="537" t="e">
        <f>_xlfn.XLOOKUP(A36,'Traçabilité et info patient'!$C$2:$AF$2,'Traçabilité et info patient'!$C$9:$AF$9)</f>
        <v>#N/A</v>
      </c>
      <c r="D36" s="537">
        <f>_xlfn.XLOOKUP(A36,'Traçabilité et info patient'!$C$2:$AF$2,'Traçabilité et info patient'!$C$8:$AF$8)</f>
        <v>0</v>
      </c>
      <c r="E36" s="537" t="str" cm="1">
        <f t="array" ref="E36">IF(OR(INDEX('Traçabilité et info patient'!$C$38:$AF$38, ROW(A30))="oui", INDEX('Traçabilité et info patient'!$C$39:$AF$39, ROW(A30))="oui"), "Oui", "Non")</f>
        <v>Non</v>
      </c>
      <c r="F36" s="537" t="str">
        <f ca="1">OFFSET('Traçabilité et info patient'!$C$93, 0, ROW(A30)-1)</f>
        <v>Non</v>
      </c>
      <c r="G36" s="537" t="str">
        <f t="shared" ca="1" si="1"/>
        <v>Processus non conforme : Information non reçue &amp; non enregistrée dans le SI</v>
      </c>
      <c r="H36" s="540">
        <f ca="1">OFFSET('Traçabilité et info patient'!$C$100, 0, ROW(A30)-1)</f>
        <v>0</v>
      </c>
      <c r="I36" s="457"/>
      <c r="J36" s="457"/>
      <c r="K36" s="457"/>
      <c r="L36" s="457"/>
      <c r="M36" s="457"/>
    </row>
    <row r="37" spans="1:13" x14ac:dyDescent="0.25">
      <c r="A37" s="541"/>
      <c r="B37" s="541"/>
      <c r="C37" s="541"/>
      <c r="D37" s="541"/>
      <c r="E37" s="541"/>
      <c r="F37" s="541"/>
      <c r="G37" s="541"/>
      <c r="H37" s="542"/>
      <c r="I37" s="457"/>
      <c r="J37" s="457"/>
      <c r="K37" s="457"/>
      <c r="L37" s="457"/>
      <c r="M37" s="457"/>
    </row>
    <row r="38" spans="1:13" x14ac:dyDescent="0.25">
      <c r="A38" s="541"/>
      <c r="B38" s="541"/>
      <c r="C38" s="541"/>
      <c r="D38" s="541"/>
      <c r="E38" s="541"/>
      <c r="F38" s="541"/>
      <c r="G38" s="541"/>
      <c r="H38" s="542"/>
      <c r="I38" s="457"/>
      <c r="J38" s="457"/>
      <c r="K38" s="457"/>
      <c r="L38" s="457"/>
      <c r="M38" s="457"/>
    </row>
    <row r="39" spans="1:13" x14ac:dyDescent="0.25">
      <c r="A39" s="541"/>
      <c r="B39" s="541"/>
      <c r="C39" s="541"/>
      <c r="D39" s="541"/>
      <c r="E39" s="541"/>
      <c r="F39" s="541"/>
      <c r="G39" s="541"/>
      <c r="H39" s="542"/>
      <c r="I39" s="457"/>
      <c r="J39" s="457"/>
      <c r="K39" s="457"/>
      <c r="L39" s="457"/>
      <c r="M39" s="457"/>
    </row>
    <row r="40" spans="1:13" x14ac:dyDescent="0.25">
      <c r="A40" s="541"/>
      <c r="B40" s="541"/>
      <c r="C40" s="541"/>
      <c r="D40" s="541"/>
      <c r="E40" s="541"/>
      <c r="F40" s="541"/>
      <c r="G40" s="541"/>
      <c r="H40" s="542"/>
      <c r="I40" s="457"/>
      <c r="J40" s="457"/>
      <c r="K40" s="457"/>
      <c r="L40" s="457"/>
      <c r="M40" s="457"/>
    </row>
    <row r="41" spans="1:13" x14ac:dyDescent="0.25">
      <c r="A41" s="541"/>
      <c r="B41" s="541"/>
      <c r="C41" s="541"/>
      <c r="D41" s="541"/>
      <c r="E41" s="541"/>
      <c r="F41" s="541"/>
      <c r="G41" s="541"/>
      <c r="H41" s="542"/>
      <c r="I41" s="457"/>
      <c r="J41" s="457"/>
      <c r="K41" s="457"/>
      <c r="L41" s="457"/>
      <c r="M41" s="457"/>
    </row>
    <row r="42" spans="1:13" x14ac:dyDescent="0.25">
      <c r="A42" s="541"/>
      <c r="B42" s="541"/>
      <c r="C42" s="541"/>
      <c r="D42" s="541"/>
      <c r="E42" s="541"/>
      <c r="F42" s="541"/>
      <c r="G42" s="541"/>
      <c r="H42" s="542"/>
      <c r="I42" s="457"/>
      <c r="J42" s="457"/>
      <c r="K42" s="457"/>
      <c r="L42" s="457"/>
      <c r="M42" s="457"/>
    </row>
    <row r="43" spans="1:13" x14ac:dyDescent="0.25">
      <c r="A43" s="541"/>
      <c r="B43" s="541"/>
      <c r="C43" s="541"/>
      <c r="D43" s="541"/>
      <c r="E43" s="541"/>
      <c r="F43" s="541"/>
      <c r="G43" s="541"/>
      <c r="H43" s="542"/>
      <c r="I43" s="457"/>
      <c r="J43" s="457"/>
      <c r="K43" s="457"/>
      <c r="L43" s="457"/>
      <c r="M43" s="457"/>
    </row>
    <row r="44" spans="1:13" x14ac:dyDescent="0.25">
      <c r="A44" s="541"/>
      <c r="B44" s="541"/>
      <c r="C44" s="541"/>
      <c r="D44" s="541"/>
      <c r="E44" s="541"/>
      <c r="F44" s="541"/>
      <c r="G44" s="541"/>
      <c r="H44" s="542"/>
      <c r="I44" s="457"/>
      <c r="J44" s="457"/>
      <c r="K44" s="457"/>
      <c r="L44" s="457"/>
      <c r="M44" s="457"/>
    </row>
    <row r="45" spans="1:13" x14ac:dyDescent="0.25">
      <c r="A45" s="541"/>
      <c r="B45" s="541"/>
      <c r="C45" s="541"/>
      <c r="D45" s="541"/>
      <c r="E45" s="541"/>
      <c r="F45" s="541"/>
      <c r="G45" s="541"/>
      <c r="H45" s="542"/>
      <c r="I45" s="457"/>
      <c r="J45" s="457"/>
      <c r="K45" s="457"/>
      <c r="L45" s="457"/>
      <c r="M45" s="457"/>
    </row>
    <row r="46" spans="1:13" x14ac:dyDescent="0.25">
      <c r="A46" s="541"/>
      <c r="B46" s="541"/>
      <c r="C46" s="541"/>
      <c r="D46" s="541"/>
      <c r="E46" s="541"/>
      <c r="F46" s="541"/>
      <c r="G46" s="541"/>
      <c r="H46" s="542"/>
      <c r="I46" s="457"/>
      <c r="J46" s="457"/>
      <c r="K46" s="457"/>
      <c r="L46" s="457"/>
      <c r="M46" s="457"/>
    </row>
    <row r="47" spans="1:13" x14ac:dyDescent="0.25">
      <c r="A47" s="541"/>
      <c r="B47" s="541"/>
      <c r="C47" s="541"/>
      <c r="D47" s="541"/>
      <c r="E47" s="541"/>
      <c r="F47" s="541"/>
      <c r="G47" s="541"/>
      <c r="H47" s="542"/>
      <c r="I47" s="457"/>
      <c r="J47" s="457"/>
      <c r="K47" s="457"/>
      <c r="L47" s="457"/>
      <c r="M47" s="457"/>
    </row>
    <row r="48" spans="1:13" x14ac:dyDescent="0.25">
      <c r="A48" s="541"/>
      <c r="B48" s="541"/>
      <c r="C48" s="541"/>
      <c r="D48" s="541"/>
      <c r="E48" s="541"/>
      <c r="F48" s="541"/>
      <c r="G48" s="541"/>
      <c r="H48" s="542"/>
      <c r="I48" s="457"/>
      <c r="J48" s="457"/>
      <c r="K48" s="457"/>
      <c r="L48" s="457"/>
      <c r="M48" s="457"/>
    </row>
    <row r="49" spans="1:21" ht="15.6" customHeight="1" x14ac:dyDescent="0.25">
      <c r="A49" s="535" t="s">
        <v>446</v>
      </c>
      <c r="B49" s="535"/>
      <c r="C49" s="535"/>
      <c r="D49" s="535"/>
      <c r="E49" s="535"/>
      <c r="F49" s="535"/>
      <c r="G49" s="535"/>
      <c r="H49" s="535"/>
      <c r="I49" s="535" t="s">
        <v>446</v>
      </c>
      <c r="J49" s="535"/>
      <c r="K49" s="535"/>
      <c r="L49" s="535"/>
      <c r="M49" s="535"/>
      <c r="N49" s="535"/>
      <c r="O49" s="535"/>
      <c r="P49" s="535"/>
      <c r="Q49" s="535"/>
    </row>
    <row r="50" spans="1:21" x14ac:dyDescent="0.25">
      <c r="I50" s="457"/>
      <c r="J50" s="457"/>
      <c r="K50" s="457"/>
      <c r="L50" s="457"/>
      <c r="M50" s="457"/>
    </row>
    <row r="51" spans="1:21" ht="56.25" x14ac:dyDescent="0.25">
      <c r="A51" s="536" t="s">
        <v>315</v>
      </c>
      <c r="B51" s="536" t="s">
        <v>444</v>
      </c>
      <c r="C51" s="536" t="s">
        <v>431</v>
      </c>
      <c r="D51" s="536" t="s">
        <v>445</v>
      </c>
      <c r="E51" s="536" t="s">
        <v>447</v>
      </c>
      <c r="F51" s="536" t="s">
        <v>488</v>
      </c>
      <c r="G51" s="536" t="s">
        <v>465</v>
      </c>
      <c r="H51" s="538" t="s">
        <v>466</v>
      </c>
      <c r="I51" s="457"/>
      <c r="J51" s="457"/>
      <c r="K51" s="457"/>
      <c r="L51" s="457"/>
      <c r="M51" s="457"/>
      <c r="R51" s="536"/>
      <c r="S51" s="536" t="s">
        <v>433</v>
      </c>
      <c r="T51" s="536" t="s">
        <v>489</v>
      </c>
      <c r="U51" s="536" t="s">
        <v>189</v>
      </c>
    </row>
    <row r="52" spans="1:21" ht="24.75" customHeight="1" x14ac:dyDescent="0.25">
      <c r="A52" s="537" t="s">
        <v>28</v>
      </c>
      <c r="B52" s="537" t="str">
        <f>_xlfn.XLOOKUP(A52,'Traçabilité et info patient'!$C$2:$AF$2,'Traçabilité et info patient'!$C$11:$AF$11)</f>
        <v>CHIRURGIEN 01</v>
      </c>
      <c r="C52" s="537" t="str">
        <f>_xlfn.XLOOKUP(A52,'Traçabilité et info patient'!$C$2:$AF$2,'Traçabilité et info patient'!$C$9:$AF$9)</f>
        <v>Chirurgie cardio-vasculaire &amp; Cardiologie interventionnelle</v>
      </c>
      <c r="D52" s="537" t="str">
        <f>_xlfn.XLOOKUP(A52,'Traçabilité et info patient'!$C$2:$AF$2,'Traçabilité et info patient'!$C$8:$AF$8)</f>
        <v>DMI 1</v>
      </c>
      <c r="E52" s="537" t="str">
        <f ca="1">OFFSET('Traçabilité et info patient'!$C$42, 0, ROW(A1)-1)</f>
        <v>Oui</v>
      </c>
      <c r="F52" s="537" t="str">
        <f ca="1">OFFSET('Traçabilité et info patient'!$C$94, 0, ROW(A1)-1)</f>
        <v>Oui</v>
      </c>
      <c r="G52" s="537" t="str">
        <f t="shared" ref="G52:G81" ca="1" si="2">IF(OR(E52="",F52=""),"",IF(F52="NA","Non applicable",IF(AND(OR(E52="Oui",E52="Plutôt oui"),F52="Oui"),"Processus conforme",IF(AND(OR(E52="Oui",E52="Plutôt oui"),F52="Non"),"Écart : information reçue mais non tracée dans le SI",IF(AND(OR(E52="Non",E52="Plutôt non"),F52="Oui"),"Écart : information non reçue mais tracée dans le SI","Processus non conforme : Information non reçue &amp; non enregistrée dans le SI")))))</f>
        <v>Processus conforme</v>
      </c>
      <c r="H52" s="540">
        <f ca="1">OFFSET('Traçabilité et info patient'!$C$101, 0, ROW(C1)-1)</f>
        <v>0.1111111111111111</v>
      </c>
      <c r="I52" s="457"/>
      <c r="J52" s="457"/>
      <c r="K52" s="457"/>
      <c r="L52" s="457"/>
      <c r="M52" s="457"/>
      <c r="R52" s="537" t="s">
        <v>320</v>
      </c>
      <c r="S52" s="537">
        <f ca="1">IF(E56="Oui",1,-1)</f>
        <v>1</v>
      </c>
      <c r="T52" s="537">
        <f ca="1">IF(F56="Oui",1,-1)</f>
        <v>1</v>
      </c>
      <c r="U52" s="533">
        <f ca="1">COUNTIFS($G$52:$G$81,R52)</f>
        <v>15</v>
      </c>
    </row>
    <row r="53" spans="1:21" ht="24" x14ac:dyDescent="0.25">
      <c r="A53" s="537" t="s">
        <v>29</v>
      </c>
      <c r="B53" s="537" t="str">
        <f>_xlfn.XLOOKUP(A53,'Traçabilité et info patient'!$C$2:$AF$2,'Traçabilité et info patient'!$C$11:$AF$11)</f>
        <v>CHIRURGIEN 06</v>
      </c>
      <c r="C53" s="537">
        <f>_xlfn.XLOOKUP(A53,'Traçabilité et info patient'!$C$2:$AF$2,'Traçabilité et info patient'!$C$9:$AF$9)</f>
        <v>0</v>
      </c>
      <c r="D53" s="537" t="str">
        <f>_xlfn.XLOOKUP(A53,'Traçabilité et info patient'!$C$2:$AF$2,'Traçabilité et info patient'!$C$8:$AF$8)</f>
        <v>DMI 6</v>
      </c>
      <c r="E53" s="537" t="str">
        <f ca="1">OFFSET('Traçabilité et info patient'!$C$42, 0, ROW(A2)-1)</f>
        <v>Non</v>
      </c>
      <c r="F53" s="537" t="str">
        <f ca="1">OFFSET('Traçabilité et info patient'!$C$94, 0, ROW(A2)-1)</f>
        <v>Non</v>
      </c>
      <c r="G53" s="537" t="str">
        <f t="shared" ca="1" si="2"/>
        <v>Processus non conforme : Information non reçue &amp; non enregistrée dans le SI</v>
      </c>
      <c r="H53" s="540">
        <f ca="1">OFFSET('Traçabilité et info patient'!$C$101, 0, ROW(C2)-1)</f>
        <v>0</v>
      </c>
      <c r="I53" s="457"/>
      <c r="J53" s="457"/>
      <c r="K53" s="457"/>
      <c r="L53" s="457"/>
      <c r="M53" s="457"/>
      <c r="R53" s="537" t="s">
        <v>437</v>
      </c>
      <c r="S53" s="537">
        <f ca="1">IF(E57="Oui",1,-1)</f>
        <v>-1</v>
      </c>
      <c r="T53" s="537">
        <f ca="1">IF(F57="Oui",1,-1)</f>
        <v>-1</v>
      </c>
      <c r="U53" s="533">
        <f t="shared" ref="U53:U55" ca="1" si="3">COUNTIFS($G$52:$G$81,R53)</f>
        <v>15</v>
      </c>
    </row>
    <row r="54" spans="1:21" ht="24" x14ac:dyDescent="0.25">
      <c r="A54" s="537" t="s">
        <v>30</v>
      </c>
      <c r="B54" s="537" t="str">
        <f>_xlfn.XLOOKUP(A54,'Traçabilité et info patient'!$C$2:$AF$2,'Traçabilité et info patient'!$C$11:$AF$11)</f>
        <v>CHIRURGIEN 03</v>
      </c>
      <c r="C54" s="537" t="str">
        <f>_xlfn.XLOOKUP(A54,'Traçabilité et info patient'!$C$2:$AF$2,'Traçabilité et info patient'!$C$9:$AF$9)</f>
        <v>Chirurgie ophtalmique</v>
      </c>
      <c r="D54" s="537" t="str">
        <f>_xlfn.XLOOKUP(A54,'Traçabilité et info patient'!$C$2:$AF$2,'Traçabilité et info patient'!$C$8:$AF$8)</f>
        <v>DMI 3</v>
      </c>
      <c r="E54" s="537" t="str">
        <f ca="1">OFFSET('Traçabilité et info patient'!$C$42, 0, ROW(A3)-1)</f>
        <v>Oui</v>
      </c>
      <c r="F54" s="537" t="str">
        <f ca="1">OFFSET('Traçabilité et info patient'!$C$94, 0, ROW(A3)-1)</f>
        <v>Oui</v>
      </c>
      <c r="G54" s="537" t="str">
        <f t="shared" ca="1" si="2"/>
        <v>Processus conforme</v>
      </c>
      <c r="H54" s="540">
        <f ca="1">OFFSET('Traçabilité et info patient'!$C$101, 0, ROW(C3)-1)</f>
        <v>0.1111111111111111</v>
      </c>
      <c r="R54" s="537" t="s">
        <v>436</v>
      </c>
      <c r="S54" s="537">
        <f ca="1">IF(E54="Oui",1,-1)</f>
        <v>1</v>
      </c>
      <c r="T54" s="537">
        <v>-1</v>
      </c>
      <c r="U54" s="533">
        <f t="shared" ca="1" si="3"/>
        <v>0</v>
      </c>
    </row>
    <row r="55" spans="1:21" ht="18.600000000000001" customHeight="1" x14ac:dyDescent="0.25">
      <c r="A55" s="537" t="s">
        <v>31</v>
      </c>
      <c r="B55" s="537" t="str">
        <f>_xlfn.XLOOKUP(A55,'Traçabilité et info patient'!$C$2:$AF$2,'Traçabilité et info patient'!$C$11:$AF$11)</f>
        <v>CHIRURGIEN 02</v>
      </c>
      <c r="C55" s="537" t="str">
        <f>_xlfn.XLOOKUP(A55,'Traçabilité et info patient'!$C$2:$AF$2,'Traçabilité et info patient'!$C$9:$AF$9)</f>
        <v>Chirurgie digestive et viscérale</v>
      </c>
      <c r="D55" s="537" t="str">
        <f>_xlfn.XLOOKUP(A55,'Traçabilité et info patient'!$C$2:$AF$2,'Traçabilité et info patient'!$C$8:$AF$8)</f>
        <v>DMI 2</v>
      </c>
      <c r="E55" s="537" t="str">
        <f ca="1">OFFSET('Traçabilité et info patient'!$C$42, 0, ROW(A4)-1)</f>
        <v>Non</v>
      </c>
      <c r="F55" s="537" t="str">
        <f ca="1">OFFSET('Traçabilité et info patient'!$C$94, 0, ROW(A4)-1)</f>
        <v>Non</v>
      </c>
      <c r="G55" s="537" t="str">
        <f t="shared" ca="1" si="2"/>
        <v>Processus non conforme : Information non reçue &amp; non enregistrée dans le SI</v>
      </c>
      <c r="H55" s="540">
        <f ca="1">OFFSET('Traçabilité et info patient'!$C$101, 0, ROW(C4)-1)</f>
        <v>0</v>
      </c>
      <c r="R55" s="537" t="s">
        <v>435</v>
      </c>
      <c r="S55" s="537">
        <f ca="1">IF(E55="Oui",1,-1)</f>
        <v>-1</v>
      </c>
      <c r="T55" s="537">
        <v>1</v>
      </c>
      <c r="U55" s="533">
        <f t="shared" ca="1" si="3"/>
        <v>0</v>
      </c>
    </row>
    <row r="56" spans="1:21" x14ac:dyDescent="0.25">
      <c r="A56" s="537" t="s">
        <v>32</v>
      </c>
      <c r="B56" s="537" t="str">
        <f>_xlfn.XLOOKUP(A56,'Traçabilité et info patient'!$C$2:$AF$2,'Traçabilité et info patient'!$C$11:$AF$11)</f>
        <v>CHIRURGIEN 10</v>
      </c>
      <c r="C56" s="537">
        <f>_xlfn.XLOOKUP(A56,'Traçabilité et info patient'!$C$2:$AF$2,'Traçabilité et info patient'!$C$9:$AF$9)</f>
        <v>0</v>
      </c>
      <c r="D56" s="537" t="str">
        <f>_xlfn.XLOOKUP(A56,'Traçabilité et info patient'!$C$2:$AF$2,'Traçabilité et info patient'!$C$8:$AF$8)</f>
        <v>DMI 10</v>
      </c>
      <c r="E56" s="537" t="str">
        <f ca="1">OFFSET('Traçabilité et info patient'!$C$42, 0, ROW(A5)-1)</f>
        <v>Oui</v>
      </c>
      <c r="F56" s="537" t="str">
        <f ca="1">OFFSET('Traçabilité et info patient'!$C$94, 0, ROW(A5)-1)</f>
        <v>Oui</v>
      </c>
      <c r="G56" s="537" t="str">
        <f t="shared" ca="1" si="2"/>
        <v>Processus conforme</v>
      </c>
      <c r="H56" s="540">
        <f ca="1">OFFSET('Traçabilité et info patient'!$C$101, 0, ROW(C5)-1)</f>
        <v>0.1111111111111111</v>
      </c>
    </row>
    <row r="57" spans="1:21" x14ac:dyDescent="0.25">
      <c r="A57" s="537" t="s">
        <v>33</v>
      </c>
      <c r="B57" s="537" t="e">
        <f>_xlfn.XLOOKUP(A57,'Traçabilité et info patient'!$C$2:$AF$2,'Traçabilité et info patient'!$C$11:$AF$11)</f>
        <v>#N/A</v>
      </c>
      <c r="C57" s="537" t="e">
        <f>_xlfn.XLOOKUP(A57,'Traçabilité et info patient'!$C$2:$AF$2,'Traçabilité et info patient'!$C$9:$AF$9)</f>
        <v>#N/A</v>
      </c>
      <c r="D57" s="537">
        <f>_xlfn.XLOOKUP(A57,'Traçabilité et info patient'!$C$2:$AF$2,'Traçabilité et info patient'!$C$8:$AF$8)</f>
        <v>0</v>
      </c>
      <c r="E57" s="537" t="str">
        <f ca="1">OFFSET('Traçabilité et info patient'!$C$42, 0, ROW(A6)-1)</f>
        <v>Non</v>
      </c>
      <c r="F57" s="537" t="str">
        <f ca="1">OFFSET('Traçabilité et info patient'!$C$94, 0, ROW(A6)-1)</f>
        <v>Non</v>
      </c>
      <c r="G57" s="537" t="str">
        <f t="shared" ca="1" si="2"/>
        <v>Processus non conforme : Information non reçue &amp; non enregistrée dans le SI</v>
      </c>
      <c r="H57" s="540">
        <f ca="1">OFFSET('Traçabilité et info patient'!$C$101, 0, ROW(C6)-1)</f>
        <v>0</v>
      </c>
    </row>
    <row r="58" spans="1:21" x14ac:dyDescent="0.25">
      <c r="A58" s="537" t="s">
        <v>34</v>
      </c>
      <c r="B58" s="537" t="e">
        <f>_xlfn.XLOOKUP(A58,'Traçabilité et info patient'!$C$2:$AF$2,'Traçabilité et info patient'!$C$11:$AF$11)</f>
        <v>#N/A</v>
      </c>
      <c r="C58" s="537" t="e">
        <f>_xlfn.XLOOKUP(A58,'Traçabilité et info patient'!$C$2:$AF$2,'Traçabilité et info patient'!$C$9:$AF$9)</f>
        <v>#N/A</v>
      </c>
      <c r="D58" s="537">
        <f>_xlfn.XLOOKUP(A58,'Traçabilité et info patient'!$C$2:$AF$2,'Traçabilité et info patient'!$C$8:$AF$8)</f>
        <v>0</v>
      </c>
      <c r="E58" s="537" t="str">
        <f ca="1">OFFSET('Traçabilité et info patient'!$C$42, 0, ROW(A7)-1)</f>
        <v>Oui</v>
      </c>
      <c r="F58" s="537" t="str">
        <f ca="1">OFFSET('Traçabilité et info patient'!$C$94, 0, ROW(A7)-1)</f>
        <v>Oui</v>
      </c>
      <c r="G58" s="537" t="str">
        <f t="shared" ca="1" si="2"/>
        <v>Processus conforme</v>
      </c>
      <c r="H58" s="540">
        <f ca="1">OFFSET('Traçabilité et info patient'!$C$101, 0, ROW(C7)-1)</f>
        <v>0.1111111111111111</v>
      </c>
    </row>
    <row r="59" spans="1:21" ht="32.25" customHeight="1" x14ac:dyDescent="0.25">
      <c r="A59" s="537" t="s">
        <v>35</v>
      </c>
      <c r="B59" s="537" t="e">
        <f>_xlfn.XLOOKUP(A59,'Traçabilité et info patient'!$C$2:$AF$2,'Traçabilité et info patient'!$C$11:$AF$11)</f>
        <v>#N/A</v>
      </c>
      <c r="C59" s="537" t="e">
        <f>_xlfn.XLOOKUP(A59,'Traçabilité et info patient'!$C$2:$AF$2,'Traçabilité et info patient'!$C$9:$AF$9)</f>
        <v>#N/A</v>
      </c>
      <c r="D59" s="537">
        <f>_xlfn.XLOOKUP(A59,'Traçabilité et info patient'!$C$2:$AF$2,'Traçabilité et info patient'!$C$8:$AF$8)</f>
        <v>0</v>
      </c>
      <c r="E59" s="537" t="str">
        <f ca="1">OFFSET('Traçabilité et info patient'!$C$42, 0, ROW(A8)-1)</f>
        <v>Non</v>
      </c>
      <c r="F59" s="537" t="str">
        <f ca="1">OFFSET('Traçabilité et info patient'!$C$94, 0, ROW(A8)-1)</f>
        <v>Non</v>
      </c>
      <c r="G59" s="537" t="str">
        <f t="shared" ca="1" si="2"/>
        <v>Processus non conforme : Information non reçue &amp; non enregistrée dans le SI</v>
      </c>
      <c r="H59" s="540">
        <f ca="1">OFFSET('Traçabilité et info patient'!$C$101, 0, ROW(C8)-1)</f>
        <v>0</v>
      </c>
    </row>
    <row r="60" spans="1:21" x14ac:dyDescent="0.25">
      <c r="A60" s="537" t="s">
        <v>36</v>
      </c>
      <c r="B60" s="537" t="e">
        <f>_xlfn.XLOOKUP(A60,'Traçabilité et info patient'!$C$2:$AF$2,'Traçabilité et info patient'!$C$11:$AF$11)</f>
        <v>#N/A</v>
      </c>
      <c r="C60" s="537" t="e">
        <f>_xlfn.XLOOKUP(A60,'Traçabilité et info patient'!$C$2:$AF$2,'Traçabilité et info patient'!$C$9:$AF$9)</f>
        <v>#N/A</v>
      </c>
      <c r="D60" s="537">
        <f>_xlfn.XLOOKUP(A60,'Traçabilité et info patient'!$C$2:$AF$2,'Traçabilité et info patient'!$C$8:$AF$8)</f>
        <v>0</v>
      </c>
      <c r="E60" s="537" t="str">
        <f ca="1">OFFSET('Traçabilité et info patient'!$C$42, 0, ROW(A9)-1)</f>
        <v>Oui</v>
      </c>
      <c r="F60" s="537" t="str">
        <f ca="1">OFFSET('Traçabilité et info patient'!$C$94, 0, ROW(A9)-1)</f>
        <v>Oui</v>
      </c>
      <c r="G60" s="537" t="str">
        <f t="shared" ca="1" si="2"/>
        <v>Processus conforme</v>
      </c>
      <c r="H60" s="540">
        <f ca="1">OFFSET('Traçabilité et info patient'!$C$101, 0, ROW(C9)-1)</f>
        <v>0.1111111111111111</v>
      </c>
    </row>
    <row r="61" spans="1:21" x14ac:dyDescent="0.25">
      <c r="A61" s="537" t="s">
        <v>37</v>
      </c>
      <c r="B61" s="537" t="e">
        <f>_xlfn.XLOOKUP(A61,'Traçabilité et info patient'!$C$2:$AF$2,'Traçabilité et info patient'!$C$11:$AF$11)</f>
        <v>#N/A</v>
      </c>
      <c r="C61" s="537" t="e">
        <f>_xlfn.XLOOKUP(A61,'Traçabilité et info patient'!$C$2:$AF$2,'Traçabilité et info patient'!$C$9:$AF$9)</f>
        <v>#N/A</v>
      </c>
      <c r="D61" s="537">
        <f>_xlfn.XLOOKUP(A61,'Traçabilité et info patient'!$C$2:$AF$2,'Traçabilité et info patient'!$C$8:$AF$8)</f>
        <v>0</v>
      </c>
      <c r="E61" s="537" t="str">
        <f ca="1">OFFSET('Traçabilité et info patient'!$C$42, 0, ROW(A10)-1)</f>
        <v>Non</v>
      </c>
      <c r="F61" s="537" t="str">
        <f ca="1">OFFSET('Traçabilité et info patient'!$C$94, 0, ROW(A10)-1)</f>
        <v>Non</v>
      </c>
      <c r="G61" s="537" t="str">
        <f t="shared" ca="1" si="2"/>
        <v>Processus non conforme : Information non reçue &amp; non enregistrée dans le SI</v>
      </c>
      <c r="H61" s="540">
        <f ca="1">OFFSET('Traçabilité et info patient'!$C$101, 0, ROW(C10)-1)</f>
        <v>0</v>
      </c>
    </row>
    <row r="62" spans="1:21" x14ac:dyDescent="0.25">
      <c r="A62" s="537" t="s">
        <v>38</v>
      </c>
      <c r="B62" s="537" t="e">
        <f>_xlfn.XLOOKUP(A62,'Traçabilité et info patient'!$C$2:$AF$2,'Traçabilité et info patient'!$C$11:$AF$11)</f>
        <v>#N/A</v>
      </c>
      <c r="C62" s="537" t="e">
        <f>_xlfn.XLOOKUP(A62,'Traçabilité et info patient'!$C$2:$AF$2,'Traçabilité et info patient'!$C$9:$AF$9)</f>
        <v>#N/A</v>
      </c>
      <c r="D62" s="537">
        <f>_xlfn.XLOOKUP(A62,'Traçabilité et info patient'!$C$2:$AF$2,'Traçabilité et info patient'!$C$8:$AF$8)</f>
        <v>0</v>
      </c>
      <c r="E62" s="537" t="str">
        <f ca="1">OFFSET('Traçabilité et info patient'!$C$42, 0, ROW(A11)-1)</f>
        <v>Oui</v>
      </c>
      <c r="F62" s="537" t="str">
        <f ca="1">OFFSET('Traçabilité et info patient'!$C$94, 0, ROW(A11)-1)</f>
        <v>Oui</v>
      </c>
      <c r="G62" s="537" t="str">
        <f t="shared" ca="1" si="2"/>
        <v>Processus conforme</v>
      </c>
      <c r="H62" s="540">
        <f ca="1">OFFSET('Traçabilité et info patient'!$C$101, 0, ROW(C11)-1)</f>
        <v>0.1111111111111111</v>
      </c>
    </row>
    <row r="63" spans="1:21" x14ac:dyDescent="0.25">
      <c r="A63" s="537" t="s">
        <v>39</v>
      </c>
      <c r="B63" s="537" t="e">
        <f>_xlfn.XLOOKUP(A63,'Traçabilité et info patient'!$C$2:$AF$2,'Traçabilité et info patient'!$C$11:$AF$11)</f>
        <v>#N/A</v>
      </c>
      <c r="C63" s="537" t="e">
        <f>_xlfn.XLOOKUP(A63,'Traçabilité et info patient'!$C$2:$AF$2,'Traçabilité et info patient'!$C$9:$AF$9)</f>
        <v>#N/A</v>
      </c>
      <c r="D63" s="537">
        <f>_xlfn.XLOOKUP(A63,'Traçabilité et info patient'!$C$2:$AF$2,'Traçabilité et info patient'!$C$8:$AF$8)</f>
        <v>0</v>
      </c>
      <c r="E63" s="537" t="str">
        <f ca="1">OFFSET('Traçabilité et info patient'!$C$42, 0, ROW(A12)-1)</f>
        <v>Non</v>
      </c>
      <c r="F63" s="537" t="str">
        <f ca="1">OFFSET('Traçabilité et info patient'!$C$94, 0, ROW(A12)-1)</f>
        <v>Non</v>
      </c>
      <c r="G63" s="537" t="str">
        <f t="shared" ca="1" si="2"/>
        <v>Processus non conforme : Information non reçue &amp; non enregistrée dans le SI</v>
      </c>
      <c r="H63" s="540">
        <f ca="1">OFFSET('Traçabilité et info patient'!$C$101, 0, ROW(C12)-1)</f>
        <v>0</v>
      </c>
    </row>
    <row r="64" spans="1:21" x14ac:dyDescent="0.25">
      <c r="A64" s="537" t="s">
        <v>40</v>
      </c>
      <c r="B64" s="537" t="e">
        <f>_xlfn.XLOOKUP(A64,'Traçabilité et info patient'!$C$2:$AF$2,'Traçabilité et info patient'!$C$11:$AF$11)</f>
        <v>#N/A</v>
      </c>
      <c r="C64" s="537" t="e">
        <f>_xlfn.XLOOKUP(A64,'Traçabilité et info patient'!$C$2:$AF$2,'Traçabilité et info patient'!$C$9:$AF$9)</f>
        <v>#N/A</v>
      </c>
      <c r="D64" s="537">
        <f>_xlfn.XLOOKUP(A64,'Traçabilité et info patient'!$C$2:$AF$2,'Traçabilité et info patient'!$C$8:$AF$8)</f>
        <v>0</v>
      </c>
      <c r="E64" s="537" t="str">
        <f ca="1">OFFSET('Traçabilité et info patient'!$C$42, 0, ROW(A13)-1)</f>
        <v>Oui</v>
      </c>
      <c r="F64" s="537" t="str">
        <f ca="1">OFFSET('Traçabilité et info patient'!$C$94, 0, ROW(A13)-1)</f>
        <v>Oui</v>
      </c>
      <c r="G64" s="537" t="str">
        <f t="shared" ca="1" si="2"/>
        <v>Processus conforme</v>
      </c>
      <c r="H64" s="540">
        <f ca="1">OFFSET('Traçabilité et info patient'!$C$101, 0, ROW(C13)-1)</f>
        <v>0.1111111111111111</v>
      </c>
    </row>
    <row r="65" spans="1:8" x14ac:dyDescent="0.25">
      <c r="A65" s="537" t="s">
        <v>41</v>
      </c>
      <c r="B65" s="537" t="e">
        <f>_xlfn.XLOOKUP(A65,'Traçabilité et info patient'!$C$2:$AF$2,'Traçabilité et info patient'!$C$11:$AF$11)</f>
        <v>#N/A</v>
      </c>
      <c r="C65" s="537" t="e">
        <f>_xlfn.XLOOKUP(A65,'Traçabilité et info patient'!$C$2:$AF$2,'Traçabilité et info patient'!$C$9:$AF$9)</f>
        <v>#N/A</v>
      </c>
      <c r="D65" s="537">
        <f>_xlfn.XLOOKUP(A65,'Traçabilité et info patient'!$C$2:$AF$2,'Traçabilité et info patient'!$C$8:$AF$8)</f>
        <v>0</v>
      </c>
      <c r="E65" s="537" t="str">
        <f ca="1">OFFSET('Traçabilité et info patient'!$C$42, 0, ROW(A14)-1)</f>
        <v>Non</v>
      </c>
      <c r="F65" s="537" t="str">
        <f ca="1">OFFSET('Traçabilité et info patient'!$C$94, 0, ROW(A14)-1)</f>
        <v>Non</v>
      </c>
      <c r="G65" s="537" t="str">
        <f t="shared" ca="1" si="2"/>
        <v>Processus non conforme : Information non reçue &amp; non enregistrée dans le SI</v>
      </c>
      <c r="H65" s="540">
        <f ca="1">OFFSET('Traçabilité et info patient'!$C$101, 0, ROW(C14)-1)</f>
        <v>0</v>
      </c>
    </row>
    <row r="66" spans="1:8" x14ac:dyDescent="0.25">
      <c r="A66" s="537" t="s">
        <v>42</v>
      </c>
      <c r="B66" s="537" t="e">
        <f>_xlfn.XLOOKUP(A66,'Traçabilité et info patient'!$C$2:$AF$2,'Traçabilité et info patient'!$C$11:$AF$11)</f>
        <v>#N/A</v>
      </c>
      <c r="C66" s="537" t="e">
        <f>_xlfn.XLOOKUP(A66,'Traçabilité et info patient'!$C$2:$AF$2,'Traçabilité et info patient'!$C$9:$AF$9)</f>
        <v>#N/A</v>
      </c>
      <c r="D66" s="537">
        <f>_xlfn.XLOOKUP(A66,'Traçabilité et info patient'!$C$2:$AF$2,'Traçabilité et info patient'!$C$8:$AF$8)</f>
        <v>0</v>
      </c>
      <c r="E66" s="537" t="str">
        <f ca="1">OFFSET('Traçabilité et info patient'!$C$42, 0, ROW(A15)-1)</f>
        <v>Oui</v>
      </c>
      <c r="F66" s="537" t="str">
        <f ca="1">OFFSET('Traçabilité et info patient'!$C$94, 0, ROW(A15)-1)</f>
        <v>Oui</v>
      </c>
      <c r="G66" s="537" t="str">
        <f t="shared" ca="1" si="2"/>
        <v>Processus conforme</v>
      </c>
      <c r="H66" s="540">
        <f ca="1">OFFSET('Traçabilité et info patient'!$C$101, 0, ROW(C15)-1)</f>
        <v>0.1111111111111111</v>
      </c>
    </row>
    <row r="67" spans="1:8" x14ac:dyDescent="0.25">
      <c r="A67" s="537" t="s">
        <v>43</v>
      </c>
      <c r="B67" s="537" t="e">
        <f>_xlfn.XLOOKUP(A67,'Traçabilité et info patient'!$C$2:$AF$2,'Traçabilité et info patient'!$C$11:$AF$11)</f>
        <v>#N/A</v>
      </c>
      <c r="C67" s="537" t="e">
        <f>_xlfn.XLOOKUP(A67,'Traçabilité et info patient'!$C$2:$AF$2,'Traçabilité et info patient'!$C$9:$AF$9)</f>
        <v>#N/A</v>
      </c>
      <c r="D67" s="537">
        <f>_xlfn.XLOOKUP(A67,'Traçabilité et info patient'!$C$2:$AF$2,'Traçabilité et info patient'!$C$8:$AF$8)</f>
        <v>0</v>
      </c>
      <c r="E67" s="537" t="str">
        <f ca="1">OFFSET('Traçabilité et info patient'!$C$42, 0, ROW(A16)-1)</f>
        <v>Non</v>
      </c>
      <c r="F67" s="537" t="str">
        <f ca="1">OFFSET('Traçabilité et info patient'!$C$94, 0, ROW(A16)-1)</f>
        <v>Non</v>
      </c>
      <c r="G67" s="537" t="str">
        <f t="shared" ca="1" si="2"/>
        <v>Processus non conforme : Information non reçue &amp; non enregistrée dans le SI</v>
      </c>
      <c r="H67" s="540">
        <f ca="1">OFFSET('Traçabilité et info patient'!$C$101, 0, ROW(C16)-1)</f>
        <v>0</v>
      </c>
    </row>
    <row r="68" spans="1:8" x14ac:dyDescent="0.25">
      <c r="A68" s="537" t="s">
        <v>44</v>
      </c>
      <c r="B68" s="537" t="e">
        <f>_xlfn.XLOOKUP(A68,'Traçabilité et info patient'!$C$2:$AF$2,'Traçabilité et info patient'!$C$11:$AF$11)</f>
        <v>#N/A</v>
      </c>
      <c r="C68" s="537" t="e">
        <f>_xlfn.XLOOKUP(A68,'Traçabilité et info patient'!$C$2:$AF$2,'Traçabilité et info patient'!$C$9:$AF$9)</f>
        <v>#N/A</v>
      </c>
      <c r="D68" s="537">
        <f>_xlfn.XLOOKUP(A68,'Traçabilité et info patient'!$C$2:$AF$2,'Traçabilité et info patient'!$C$8:$AF$8)</f>
        <v>0</v>
      </c>
      <c r="E68" s="537" t="str">
        <f ca="1">OFFSET('Traçabilité et info patient'!$C$42, 0, ROW(A17)-1)</f>
        <v>Oui</v>
      </c>
      <c r="F68" s="537" t="str">
        <f ca="1">OFFSET('Traçabilité et info patient'!$C$94, 0, ROW(A17)-1)</f>
        <v>Oui</v>
      </c>
      <c r="G68" s="537" t="str">
        <f t="shared" ca="1" si="2"/>
        <v>Processus conforme</v>
      </c>
      <c r="H68" s="540">
        <f ca="1">OFFSET('Traçabilité et info patient'!$C$101, 0, ROW(C17)-1)</f>
        <v>0.1111111111111111</v>
      </c>
    </row>
    <row r="69" spans="1:8" x14ac:dyDescent="0.25">
      <c r="A69" s="537" t="s">
        <v>45</v>
      </c>
      <c r="B69" s="537" t="e">
        <f>_xlfn.XLOOKUP(A69,'Traçabilité et info patient'!$C$2:$AF$2,'Traçabilité et info patient'!$C$11:$AF$11)</f>
        <v>#N/A</v>
      </c>
      <c r="C69" s="537" t="e">
        <f>_xlfn.XLOOKUP(A69,'Traçabilité et info patient'!$C$2:$AF$2,'Traçabilité et info patient'!$C$9:$AF$9)</f>
        <v>#N/A</v>
      </c>
      <c r="D69" s="537">
        <f>_xlfn.XLOOKUP(A69,'Traçabilité et info patient'!$C$2:$AF$2,'Traçabilité et info patient'!$C$8:$AF$8)</f>
        <v>0</v>
      </c>
      <c r="E69" s="537" t="str">
        <f ca="1">OFFSET('Traçabilité et info patient'!$C$42, 0, ROW(A18)-1)</f>
        <v>Non</v>
      </c>
      <c r="F69" s="537" t="str">
        <f ca="1">OFFSET('Traçabilité et info patient'!$C$94, 0, ROW(A18)-1)</f>
        <v>Non</v>
      </c>
      <c r="G69" s="537" t="str">
        <f t="shared" ca="1" si="2"/>
        <v>Processus non conforme : Information non reçue &amp; non enregistrée dans le SI</v>
      </c>
      <c r="H69" s="540">
        <f ca="1">OFFSET('Traçabilité et info patient'!$C$101, 0, ROW(C18)-1)</f>
        <v>0</v>
      </c>
    </row>
    <row r="70" spans="1:8" x14ac:dyDescent="0.25">
      <c r="A70" s="537" t="s">
        <v>46</v>
      </c>
      <c r="B70" s="537" t="e">
        <f>_xlfn.XLOOKUP(A70,'Traçabilité et info patient'!$C$2:$AF$2,'Traçabilité et info patient'!$C$11:$AF$11)</f>
        <v>#N/A</v>
      </c>
      <c r="C70" s="537" t="e">
        <f>_xlfn.XLOOKUP(A70,'Traçabilité et info patient'!$C$2:$AF$2,'Traçabilité et info patient'!$C$9:$AF$9)</f>
        <v>#N/A</v>
      </c>
      <c r="D70" s="537">
        <f>_xlfn.XLOOKUP(A70,'Traçabilité et info patient'!$C$2:$AF$2,'Traçabilité et info patient'!$C$8:$AF$8)</f>
        <v>0</v>
      </c>
      <c r="E70" s="537" t="str">
        <f ca="1">OFFSET('Traçabilité et info patient'!$C$42, 0, ROW(A19)-1)</f>
        <v>Oui</v>
      </c>
      <c r="F70" s="537" t="str">
        <f ca="1">OFFSET('Traçabilité et info patient'!$C$94, 0, ROW(A19)-1)</f>
        <v>Oui</v>
      </c>
      <c r="G70" s="537" t="str">
        <f t="shared" ca="1" si="2"/>
        <v>Processus conforme</v>
      </c>
      <c r="H70" s="540">
        <f ca="1">OFFSET('Traçabilité et info patient'!$C$101, 0, ROW(C19)-1)</f>
        <v>0.1111111111111111</v>
      </c>
    </row>
    <row r="71" spans="1:8" x14ac:dyDescent="0.25">
      <c r="A71" s="537" t="s">
        <v>47</v>
      </c>
      <c r="B71" s="537" t="e">
        <f>_xlfn.XLOOKUP(A71,'Traçabilité et info patient'!$C$2:$AF$2,'Traçabilité et info patient'!$C$11:$AF$11)</f>
        <v>#N/A</v>
      </c>
      <c r="C71" s="537" t="e">
        <f>_xlfn.XLOOKUP(A71,'Traçabilité et info patient'!$C$2:$AF$2,'Traçabilité et info patient'!$C$9:$AF$9)</f>
        <v>#N/A</v>
      </c>
      <c r="D71" s="537">
        <f>_xlfn.XLOOKUP(A71,'Traçabilité et info patient'!$C$2:$AF$2,'Traçabilité et info patient'!$C$8:$AF$8)</f>
        <v>0</v>
      </c>
      <c r="E71" s="537" t="str">
        <f ca="1">OFFSET('Traçabilité et info patient'!$C$42, 0, ROW(A20)-1)</f>
        <v>Non</v>
      </c>
      <c r="F71" s="537" t="str">
        <f ca="1">OFFSET('Traçabilité et info patient'!$C$94, 0, ROW(A20)-1)</f>
        <v>Non</v>
      </c>
      <c r="G71" s="537" t="str">
        <f t="shared" ca="1" si="2"/>
        <v>Processus non conforme : Information non reçue &amp; non enregistrée dans le SI</v>
      </c>
      <c r="H71" s="540">
        <f ca="1">OFFSET('Traçabilité et info patient'!$C$101, 0, ROW(C20)-1)</f>
        <v>0</v>
      </c>
    </row>
    <row r="72" spans="1:8" x14ac:dyDescent="0.25">
      <c r="A72" s="537" t="s">
        <v>48</v>
      </c>
      <c r="B72" s="537" t="e">
        <f>_xlfn.XLOOKUP(A72,'Traçabilité et info patient'!$C$2:$AF$2,'Traçabilité et info patient'!$C$11:$AF$11)</f>
        <v>#N/A</v>
      </c>
      <c r="C72" s="537" t="e">
        <f>_xlfn.XLOOKUP(A72,'Traçabilité et info patient'!$C$2:$AF$2,'Traçabilité et info patient'!$C$9:$AF$9)</f>
        <v>#N/A</v>
      </c>
      <c r="D72" s="537">
        <f>_xlfn.XLOOKUP(A72,'Traçabilité et info patient'!$C$2:$AF$2,'Traçabilité et info patient'!$C$8:$AF$8)</f>
        <v>0</v>
      </c>
      <c r="E72" s="537" t="str">
        <f ca="1">OFFSET('Traçabilité et info patient'!$C$42, 0, ROW(A21)-1)</f>
        <v>Oui</v>
      </c>
      <c r="F72" s="537" t="str">
        <f ca="1">OFFSET('Traçabilité et info patient'!$C$94, 0, ROW(A21)-1)</f>
        <v>Oui</v>
      </c>
      <c r="G72" s="537" t="str">
        <f t="shared" ca="1" si="2"/>
        <v>Processus conforme</v>
      </c>
      <c r="H72" s="540">
        <f ca="1">OFFSET('Traçabilité et info patient'!$C$101, 0, ROW(C21)-1)</f>
        <v>0.1111111111111111</v>
      </c>
    </row>
    <row r="73" spans="1:8" x14ac:dyDescent="0.25">
      <c r="A73" s="537" t="s">
        <v>49</v>
      </c>
      <c r="B73" s="537" t="e">
        <f>_xlfn.XLOOKUP(A73,'Traçabilité et info patient'!$C$2:$AF$2,'Traçabilité et info patient'!$C$11:$AF$11)</f>
        <v>#N/A</v>
      </c>
      <c r="C73" s="537" t="e">
        <f>_xlfn.XLOOKUP(A73,'Traçabilité et info patient'!$C$2:$AF$2,'Traçabilité et info patient'!$C$9:$AF$9)</f>
        <v>#N/A</v>
      </c>
      <c r="D73" s="537">
        <f>_xlfn.XLOOKUP(A73,'Traçabilité et info patient'!$C$2:$AF$2,'Traçabilité et info patient'!$C$8:$AF$8)</f>
        <v>0</v>
      </c>
      <c r="E73" s="537" t="str">
        <f ca="1">OFFSET('Traçabilité et info patient'!$C$42, 0, ROW(A22)-1)</f>
        <v>Non</v>
      </c>
      <c r="F73" s="537" t="str">
        <f ca="1">OFFSET('Traçabilité et info patient'!$C$94, 0, ROW(A22)-1)</f>
        <v>Non</v>
      </c>
      <c r="G73" s="537" t="str">
        <f t="shared" ca="1" si="2"/>
        <v>Processus non conforme : Information non reçue &amp; non enregistrée dans le SI</v>
      </c>
      <c r="H73" s="540">
        <f ca="1">OFFSET('Traçabilité et info patient'!$C$101, 0, ROW(C22)-1)</f>
        <v>0</v>
      </c>
    </row>
    <row r="74" spans="1:8" x14ac:dyDescent="0.25">
      <c r="A74" s="537" t="s">
        <v>50</v>
      </c>
      <c r="B74" s="537" t="e">
        <f>_xlfn.XLOOKUP(A74,'Traçabilité et info patient'!$C$2:$AF$2,'Traçabilité et info patient'!$C$11:$AF$11)</f>
        <v>#N/A</v>
      </c>
      <c r="C74" s="537" t="e">
        <f>_xlfn.XLOOKUP(A74,'Traçabilité et info patient'!$C$2:$AF$2,'Traçabilité et info patient'!$C$9:$AF$9)</f>
        <v>#N/A</v>
      </c>
      <c r="D74" s="537">
        <f>_xlfn.XLOOKUP(A74,'Traçabilité et info patient'!$C$2:$AF$2,'Traçabilité et info patient'!$C$8:$AF$8)</f>
        <v>0</v>
      </c>
      <c r="E74" s="537" t="str">
        <f ca="1">OFFSET('Traçabilité et info patient'!$C$42, 0, ROW(A23)-1)</f>
        <v>Oui</v>
      </c>
      <c r="F74" s="537" t="str">
        <f ca="1">OFFSET('Traçabilité et info patient'!$C$94, 0, ROW(A23)-1)</f>
        <v>Oui</v>
      </c>
      <c r="G74" s="537" t="str">
        <f t="shared" ca="1" si="2"/>
        <v>Processus conforme</v>
      </c>
      <c r="H74" s="540">
        <f ca="1">OFFSET('Traçabilité et info patient'!$C$101, 0, ROW(C23)-1)</f>
        <v>0.1111111111111111</v>
      </c>
    </row>
    <row r="75" spans="1:8" x14ac:dyDescent="0.25">
      <c r="A75" s="537" t="s">
        <v>51</v>
      </c>
      <c r="B75" s="537" t="e">
        <f>_xlfn.XLOOKUP(A75,'Traçabilité et info patient'!$C$2:$AF$2,'Traçabilité et info patient'!$C$11:$AF$11)</f>
        <v>#N/A</v>
      </c>
      <c r="C75" s="537" t="e">
        <f>_xlfn.XLOOKUP(A75,'Traçabilité et info patient'!$C$2:$AF$2,'Traçabilité et info patient'!$C$9:$AF$9)</f>
        <v>#N/A</v>
      </c>
      <c r="D75" s="537">
        <f>_xlfn.XLOOKUP(A75,'Traçabilité et info patient'!$C$2:$AF$2,'Traçabilité et info patient'!$C$8:$AF$8)</f>
        <v>0</v>
      </c>
      <c r="E75" s="537" t="str">
        <f ca="1">OFFSET('Traçabilité et info patient'!$C$42, 0, ROW(A24)-1)</f>
        <v>Non</v>
      </c>
      <c r="F75" s="537" t="str">
        <f ca="1">OFFSET('Traçabilité et info patient'!$C$94, 0, ROW(A24)-1)</f>
        <v>Non</v>
      </c>
      <c r="G75" s="537" t="str">
        <f t="shared" ca="1" si="2"/>
        <v>Processus non conforme : Information non reçue &amp; non enregistrée dans le SI</v>
      </c>
      <c r="H75" s="540">
        <f ca="1">OFFSET('Traçabilité et info patient'!$C$101, 0, ROW(C24)-1)</f>
        <v>0</v>
      </c>
    </row>
    <row r="76" spans="1:8" x14ac:dyDescent="0.25">
      <c r="A76" s="537" t="s">
        <v>52</v>
      </c>
      <c r="B76" s="537" t="e">
        <f>_xlfn.XLOOKUP(A76,'Traçabilité et info patient'!$C$2:$AF$2,'Traçabilité et info patient'!$C$11:$AF$11)</f>
        <v>#N/A</v>
      </c>
      <c r="C76" s="537" t="e">
        <f>_xlfn.XLOOKUP(A76,'Traçabilité et info patient'!$C$2:$AF$2,'Traçabilité et info patient'!$C$9:$AF$9)</f>
        <v>#N/A</v>
      </c>
      <c r="D76" s="537">
        <f>_xlfn.XLOOKUP(A76,'Traçabilité et info patient'!$C$2:$AF$2,'Traçabilité et info patient'!$C$8:$AF$8)</f>
        <v>0</v>
      </c>
      <c r="E76" s="537" t="str">
        <f ca="1">OFFSET('Traçabilité et info patient'!$C$42, 0, ROW(A25)-1)</f>
        <v>Oui</v>
      </c>
      <c r="F76" s="537" t="str">
        <f ca="1">OFFSET('Traçabilité et info patient'!$C$94, 0, ROW(A25)-1)</f>
        <v>Oui</v>
      </c>
      <c r="G76" s="537" t="str">
        <f t="shared" ca="1" si="2"/>
        <v>Processus conforme</v>
      </c>
      <c r="H76" s="540">
        <f ca="1">OFFSET('Traçabilité et info patient'!$C$101, 0, ROW(C25)-1)</f>
        <v>0.1111111111111111</v>
      </c>
    </row>
    <row r="77" spans="1:8" x14ac:dyDescent="0.25">
      <c r="A77" s="537" t="s">
        <v>53</v>
      </c>
      <c r="B77" s="537" t="e">
        <f>_xlfn.XLOOKUP(A77,'Traçabilité et info patient'!$C$2:$AF$2,'Traçabilité et info patient'!$C$11:$AF$11)</f>
        <v>#N/A</v>
      </c>
      <c r="C77" s="537" t="e">
        <f>_xlfn.XLOOKUP(A77,'Traçabilité et info patient'!$C$2:$AF$2,'Traçabilité et info patient'!$C$9:$AF$9)</f>
        <v>#N/A</v>
      </c>
      <c r="D77" s="537">
        <f>_xlfn.XLOOKUP(A77,'Traçabilité et info patient'!$C$2:$AF$2,'Traçabilité et info patient'!$C$8:$AF$8)</f>
        <v>0</v>
      </c>
      <c r="E77" s="537" t="str">
        <f ca="1">OFFSET('Traçabilité et info patient'!$C$42, 0, ROW(A26)-1)</f>
        <v>Non</v>
      </c>
      <c r="F77" s="537" t="str">
        <f ca="1">OFFSET('Traçabilité et info patient'!$C$94, 0, ROW(A26)-1)</f>
        <v>Non</v>
      </c>
      <c r="G77" s="537" t="str">
        <f t="shared" ca="1" si="2"/>
        <v>Processus non conforme : Information non reçue &amp; non enregistrée dans le SI</v>
      </c>
      <c r="H77" s="540">
        <f ca="1">OFFSET('Traçabilité et info patient'!$C$101, 0, ROW(C26)-1)</f>
        <v>0</v>
      </c>
    </row>
    <row r="78" spans="1:8" x14ac:dyDescent="0.25">
      <c r="A78" s="537" t="s">
        <v>54</v>
      </c>
      <c r="B78" s="537" t="e">
        <f>_xlfn.XLOOKUP(A78,'Traçabilité et info patient'!$C$2:$AF$2,'Traçabilité et info patient'!$C$11:$AF$11)</f>
        <v>#N/A</v>
      </c>
      <c r="C78" s="537" t="e">
        <f>_xlfn.XLOOKUP(A78,'Traçabilité et info patient'!$C$2:$AF$2,'Traçabilité et info patient'!$C$9:$AF$9)</f>
        <v>#N/A</v>
      </c>
      <c r="D78" s="537">
        <f>_xlfn.XLOOKUP(A78,'Traçabilité et info patient'!$C$2:$AF$2,'Traçabilité et info patient'!$C$8:$AF$8)</f>
        <v>0</v>
      </c>
      <c r="E78" s="537" t="str">
        <f ca="1">OFFSET('Traçabilité et info patient'!$C$42, 0, ROW(A27)-1)</f>
        <v>Oui</v>
      </c>
      <c r="F78" s="537" t="str">
        <f ca="1">OFFSET('Traçabilité et info patient'!$C$94, 0, ROW(A27)-1)</f>
        <v>Oui</v>
      </c>
      <c r="G78" s="537" t="str">
        <f t="shared" ca="1" si="2"/>
        <v>Processus conforme</v>
      </c>
      <c r="H78" s="540">
        <f ca="1">OFFSET('Traçabilité et info patient'!$C$101, 0, ROW(C27)-1)</f>
        <v>0.1111111111111111</v>
      </c>
    </row>
    <row r="79" spans="1:8" x14ac:dyDescent="0.25">
      <c r="A79" s="537" t="s">
        <v>55</v>
      </c>
      <c r="B79" s="537" t="e">
        <f>_xlfn.XLOOKUP(A79,'Traçabilité et info patient'!$C$2:$AF$2,'Traçabilité et info patient'!$C$11:$AF$11)</f>
        <v>#N/A</v>
      </c>
      <c r="C79" s="537" t="e">
        <f>_xlfn.XLOOKUP(A79,'Traçabilité et info patient'!$C$2:$AF$2,'Traçabilité et info patient'!$C$9:$AF$9)</f>
        <v>#N/A</v>
      </c>
      <c r="D79" s="537">
        <f>_xlfn.XLOOKUP(A79,'Traçabilité et info patient'!$C$2:$AF$2,'Traçabilité et info patient'!$C$8:$AF$8)</f>
        <v>0</v>
      </c>
      <c r="E79" s="537" t="str">
        <f ca="1">OFFSET('Traçabilité et info patient'!$C$42, 0, ROW(A28)-1)</f>
        <v>Non</v>
      </c>
      <c r="F79" s="537" t="str">
        <f ca="1">OFFSET('Traçabilité et info patient'!$C$94, 0, ROW(A28)-1)</f>
        <v>Non</v>
      </c>
      <c r="G79" s="537" t="str">
        <f t="shared" ca="1" si="2"/>
        <v>Processus non conforme : Information non reçue &amp; non enregistrée dans le SI</v>
      </c>
      <c r="H79" s="540">
        <f ca="1">OFFSET('Traçabilité et info patient'!$C$101, 0, ROW(C28)-1)</f>
        <v>0</v>
      </c>
    </row>
    <row r="80" spans="1:8" x14ac:dyDescent="0.25">
      <c r="A80" s="537" t="s">
        <v>56</v>
      </c>
      <c r="B80" s="537" t="e">
        <f>_xlfn.XLOOKUP(A80,'Traçabilité et info patient'!$C$2:$AF$2,'Traçabilité et info patient'!$C$11:$AF$11)</f>
        <v>#N/A</v>
      </c>
      <c r="C80" s="537" t="e">
        <f>_xlfn.XLOOKUP(A80,'Traçabilité et info patient'!$C$2:$AF$2,'Traçabilité et info patient'!$C$9:$AF$9)</f>
        <v>#N/A</v>
      </c>
      <c r="D80" s="537">
        <f>_xlfn.XLOOKUP(A80,'Traçabilité et info patient'!$C$2:$AF$2,'Traçabilité et info patient'!$C$8:$AF$8)</f>
        <v>0</v>
      </c>
      <c r="E80" s="537" t="str">
        <f ca="1">OFFSET('Traçabilité et info patient'!$C$42, 0, ROW(A29)-1)</f>
        <v>Oui</v>
      </c>
      <c r="F80" s="537" t="str">
        <f ca="1">OFFSET('Traçabilité et info patient'!$C$94, 0, ROW(A29)-1)</f>
        <v>Oui</v>
      </c>
      <c r="G80" s="537" t="str">
        <f t="shared" ca="1" si="2"/>
        <v>Processus conforme</v>
      </c>
      <c r="H80" s="540">
        <f ca="1">OFFSET('Traçabilité et info patient'!$C$101, 0, ROW(C29)-1)</f>
        <v>0.1111111111111111</v>
      </c>
    </row>
    <row r="81" spans="1:8" x14ac:dyDescent="0.25">
      <c r="A81" s="537" t="s">
        <v>57</v>
      </c>
      <c r="B81" s="537" t="e">
        <f>_xlfn.XLOOKUP(A81,'Traçabilité et info patient'!$C$2:$AF$2,'Traçabilité et info patient'!$C$11:$AF$11)</f>
        <v>#N/A</v>
      </c>
      <c r="C81" s="537" t="e">
        <f>_xlfn.XLOOKUP(A81,'Traçabilité et info patient'!$C$2:$AF$2,'Traçabilité et info patient'!$C$9:$AF$9)</f>
        <v>#N/A</v>
      </c>
      <c r="D81" s="537">
        <f>_xlfn.XLOOKUP(A81,'Traçabilité et info patient'!$C$2:$AF$2,'Traçabilité et info patient'!$C$8:$AF$8)</f>
        <v>0</v>
      </c>
      <c r="E81" s="537" t="str">
        <f ca="1">OFFSET('Traçabilité et info patient'!$C$42, 0, ROW(A30)-1)</f>
        <v>Non</v>
      </c>
      <c r="F81" s="537" t="str">
        <f ca="1">OFFSET('Traçabilité et info patient'!$C$94, 0, ROW(A30)-1)</f>
        <v>Non</v>
      </c>
      <c r="G81" s="537" t="str">
        <f t="shared" ca="1" si="2"/>
        <v>Processus non conforme : Information non reçue &amp; non enregistrée dans le SI</v>
      </c>
      <c r="H81" s="540">
        <f ca="1">OFFSET('Traçabilité et info patient'!$C$101, 0, ROW(C30)-1)</f>
        <v>0</v>
      </c>
    </row>
    <row r="82" spans="1:8" x14ac:dyDescent="0.25">
      <c r="A82" s="541"/>
      <c r="B82" s="541"/>
      <c r="C82" s="541"/>
      <c r="D82" s="541"/>
      <c r="E82" s="541"/>
      <c r="F82" s="541"/>
      <c r="G82" s="541"/>
      <c r="H82" s="457"/>
    </row>
    <row r="83" spans="1:8" x14ac:dyDescent="0.25">
      <c r="A83" s="541"/>
      <c r="B83" s="541"/>
      <c r="C83" s="541"/>
      <c r="D83" s="541"/>
      <c r="E83" s="541"/>
      <c r="F83" s="541"/>
      <c r="G83" s="541"/>
      <c r="H83" s="457"/>
    </row>
    <row r="84" spans="1:8" x14ac:dyDescent="0.25">
      <c r="A84" s="541"/>
      <c r="B84" s="541"/>
      <c r="C84" s="541"/>
      <c r="D84" s="541"/>
      <c r="E84" s="541"/>
      <c r="F84" s="541"/>
      <c r="G84" s="541"/>
      <c r="H84" s="457"/>
    </row>
    <row r="85" spans="1:8" x14ac:dyDescent="0.25">
      <c r="A85" s="541"/>
      <c r="B85" s="541"/>
      <c r="C85" s="541"/>
      <c r="D85" s="541"/>
      <c r="E85" s="541"/>
      <c r="F85" s="541"/>
      <c r="G85" s="541"/>
      <c r="H85" s="457"/>
    </row>
    <row r="86" spans="1:8" x14ac:dyDescent="0.25">
      <c r="A86" s="541"/>
      <c r="B86" s="541"/>
      <c r="C86" s="541"/>
      <c r="D86" s="541"/>
      <c r="E86" s="541"/>
      <c r="F86" s="541"/>
      <c r="G86" s="541"/>
      <c r="H86" s="457"/>
    </row>
    <row r="87" spans="1:8" x14ac:dyDescent="0.25">
      <c r="A87" s="541"/>
      <c r="B87" s="541"/>
      <c r="C87" s="541"/>
      <c r="D87" s="541"/>
      <c r="E87" s="541"/>
      <c r="F87" s="541"/>
      <c r="G87" s="541"/>
      <c r="H87" s="457"/>
    </row>
    <row r="88" spans="1:8" x14ac:dyDescent="0.25">
      <c r="A88" s="541"/>
      <c r="B88" s="541"/>
      <c r="C88" s="541"/>
      <c r="D88" s="541"/>
      <c r="E88" s="541"/>
      <c r="F88" s="541"/>
      <c r="G88" s="541"/>
      <c r="H88" s="457"/>
    </row>
    <row r="89" spans="1:8" x14ac:dyDescent="0.25">
      <c r="A89" s="541"/>
      <c r="B89" s="541"/>
      <c r="C89" s="541"/>
      <c r="D89" s="541"/>
      <c r="E89" s="541"/>
      <c r="F89" s="541"/>
      <c r="G89" s="541"/>
      <c r="H89" s="457"/>
    </row>
    <row r="90" spans="1:8" x14ac:dyDescent="0.25">
      <c r="A90" s="541"/>
      <c r="B90" s="541"/>
      <c r="C90" s="541"/>
      <c r="D90" s="541"/>
      <c r="E90" s="541"/>
      <c r="F90" s="541"/>
      <c r="G90" s="541"/>
      <c r="H90" s="457"/>
    </row>
    <row r="91" spans="1:8" x14ac:dyDescent="0.25">
      <c r="A91" s="541"/>
      <c r="B91" s="541"/>
      <c r="C91" s="541"/>
      <c r="D91" s="541"/>
      <c r="E91" s="541"/>
      <c r="F91" s="541"/>
      <c r="G91" s="541"/>
      <c r="H91" s="457"/>
    </row>
    <row r="92" spans="1:8" x14ac:dyDescent="0.25">
      <c r="A92" s="541"/>
      <c r="B92" s="541"/>
      <c r="C92" s="541"/>
      <c r="D92" s="541"/>
      <c r="E92" s="541"/>
      <c r="F92" s="541"/>
      <c r="G92" s="541"/>
      <c r="H92" s="457"/>
    </row>
    <row r="93" spans="1:8" x14ac:dyDescent="0.25">
      <c r="A93" s="541"/>
      <c r="B93" s="541"/>
      <c r="C93" s="541"/>
      <c r="D93" s="541"/>
      <c r="E93" s="541"/>
      <c r="F93" s="541"/>
      <c r="G93" s="541"/>
      <c r="H93" s="457"/>
    </row>
    <row r="94" spans="1:8" x14ac:dyDescent="0.25">
      <c r="A94" s="541"/>
      <c r="B94" s="541"/>
      <c r="C94" s="541"/>
      <c r="D94" s="541"/>
      <c r="E94" s="541"/>
      <c r="F94" s="541"/>
      <c r="G94" s="541"/>
      <c r="H94" s="457"/>
    </row>
    <row r="95" spans="1:8" x14ac:dyDescent="0.25">
      <c r="A95" s="541"/>
      <c r="B95" s="541"/>
      <c r="C95" s="541"/>
      <c r="D95" s="541"/>
      <c r="E95" s="541"/>
      <c r="F95" s="541"/>
      <c r="G95" s="541"/>
      <c r="H95" s="457"/>
    </row>
    <row r="96" spans="1:8" x14ac:dyDescent="0.25">
      <c r="A96" s="541"/>
      <c r="B96" s="541"/>
      <c r="C96" s="541"/>
      <c r="D96" s="541"/>
      <c r="E96" s="541"/>
      <c r="F96" s="541"/>
      <c r="G96" s="541"/>
      <c r="H96" s="457"/>
    </row>
    <row r="97" spans="1:21" x14ac:dyDescent="0.25">
      <c r="A97" s="541"/>
      <c r="B97" s="541"/>
      <c r="C97" s="541"/>
      <c r="D97" s="541"/>
      <c r="E97" s="541"/>
      <c r="F97" s="541"/>
      <c r="G97" s="541"/>
      <c r="H97" s="457"/>
    </row>
    <row r="98" spans="1:21" x14ac:dyDescent="0.25">
      <c r="A98" s="541"/>
      <c r="B98" s="541"/>
      <c r="C98" s="541"/>
      <c r="D98" s="541"/>
      <c r="E98" s="541"/>
      <c r="F98" s="541"/>
      <c r="G98" s="541"/>
      <c r="H98" s="457"/>
    </row>
    <row r="99" spans="1:21" x14ac:dyDescent="0.25">
      <c r="A99" s="541"/>
      <c r="B99" s="541"/>
      <c r="C99" s="541"/>
      <c r="D99" s="541"/>
      <c r="E99" s="541"/>
      <c r="F99" s="541"/>
      <c r="G99" s="541"/>
      <c r="H99" s="457"/>
    </row>
    <row r="100" spans="1:21" ht="23.25" customHeight="1" x14ac:dyDescent="0.25">
      <c r="A100" s="541"/>
      <c r="B100" s="541"/>
      <c r="C100" s="541"/>
      <c r="D100" s="541"/>
      <c r="E100" s="541"/>
      <c r="F100" s="541"/>
      <c r="G100" s="541"/>
      <c r="H100" s="457"/>
    </row>
    <row r="101" spans="1:21" ht="28.5" customHeight="1" x14ac:dyDescent="0.25">
      <c r="A101" s="535" t="s">
        <v>491</v>
      </c>
      <c r="B101" s="535"/>
      <c r="C101" s="535"/>
      <c r="D101" s="535"/>
      <c r="E101" s="535"/>
      <c r="F101" s="535"/>
      <c r="G101" s="535"/>
      <c r="H101" s="535"/>
      <c r="I101" s="535" t="s">
        <v>491</v>
      </c>
      <c r="J101" s="535"/>
      <c r="K101" s="535"/>
      <c r="L101" s="535"/>
      <c r="M101" s="535"/>
      <c r="N101" s="535"/>
      <c r="O101" s="535"/>
      <c r="P101" s="535"/>
      <c r="Q101" s="535"/>
      <c r="R101" s="536"/>
      <c r="S101" s="536" t="s">
        <v>486</v>
      </c>
      <c r="T101" s="536" t="s">
        <v>487</v>
      </c>
      <c r="U101" s="536" t="s">
        <v>189</v>
      </c>
    </row>
    <row r="102" spans="1:21" ht="25.5" customHeight="1" x14ac:dyDescent="0.25">
      <c r="R102" s="537" t="s">
        <v>320</v>
      </c>
      <c r="S102" s="537">
        <f ca="1">IF(E106="Oui",1,-1)</f>
        <v>1</v>
      </c>
      <c r="T102" s="537">
        <f ca="1">IF(F106="Oui",1,-1)</f>
        <v>1</v>
      </c>
      <c r="U102" s="533">
        <f ca="1">COUNTIFS($G$104:$G$133,R102)</f>
        <v>4</v>
      </c>
    </row>
    <row r="103" spans="1:21" ht="24" x14ac:dyDescent="0.25">
      <c r="A103" s="536" t="s">
        <v>315</v>
      </c>
      <c r="B103" s="536" t="s">
        <v>444</v>
      </c>
      <c r="C103" s="536" t="s">
        <v>431</v>
      </c>
      <c r="D103" s="536" t="s">
        <v>445</v>
      </c>
      <c r="E103" s="536" t="s">
        <v>485</v>
      </c>
      <c r="F103" s="536" t="s">
        <v>430</v>
      </c>
      <c r="G103" s="536" t="s">
        <v>465</v>
      </c>
      <c r="H103" s="457"/>
      <c r="R103" s="537" t="s">
        <v>437</v>
      </c>
      <c r="S103" s="537">
        <v>-1</v>
      </c>
      <c r="T103" s="537">
        <f ca="1">IF(F107="Oui",1,-1)</f>
        <v>-1</v>
      </c>
      <c r="U103" s="533">
        <f t="shared" ref="U103:U105" ca="1" si="4">COUNTIFS($G$104:$G$133,R103)</f>
        <v>12</v>
      </c>
    </row>
    <row r="104" spans="1:21" ht="24" x14ac:dyDescent="0.25">
      <c r="A104" s="537" t="s">
        <v>28</v>
      </c>
      <c r="B104" s="537" t="str">
        <f>_xlfn.XLOOKUP(A104,'Traçabilité et info patient'!$C$2:$AF$2,'Traçabilité et info patient'!$C$11:$AF$11)</f>
        <v>CHIRURGIEN 01</v>
      </c>
      <c r="C104" s="537" t="str">
        <f>_xlfn.XLOOKUP(A104,'Traçabilité et info patient'!$C$2:$AF$2,'Traçabilité et info patient'!$C$9:$AF$9)</f>
        <v>Chirurgie cardio-vasculaire &amp; Cardiologie interventionnelle</v>
      </c>
      <c r="D104" s="537" t="str">
        <f>_xlfn.XLOOKUP(A104,'Traçabilité et info patient'!$C$2:$AF$2,'Traçabilité et info patient'!$C$8:$AF$8)</f>
        <v>DMI 1</v>
      </c>
      <c r="E104" s="537" t="str">
        <f ca="1">OFFSET('Traçabilité et info patient'!$C$46, 0, ROW(A1)-1)</f>
        <v>Oui</v>
      </c>
      <c r="F104" s="537" t="str">
        <f ca="1">OFFSET('Traçabilité et info patient'!$C$95, 0, ROW(A1)-1)</f>
        <v>Oui</v>
      </c>
      <c r="G104" s="537" t="str">
        <f t="shared" ref="G104:G133" ca="1" si="5">IF(OR(E104="",F104=""),"",IF(F104="NA","Non applicable",IF(AND(OR(E104="Oui",E104="Plutôt oui"),F104="Oui"),"Processus conforme",IF(AND(OR(E104="Oui",E104="Plutôt oui"),F104="Non"),"Écart : information reçue mais non tracée dans le SI",IF(AND(OR(E104="Non",E104="Plutôt non",E104="Je ne sais plus"),F104="Oui"),"Écart : information non reçue mais tracée dans le SI","Processus non conforme : Information non reçue &amp; non enregistrée dans le SI")))))</f>
        <v>Processus conforme</v>
      </c>
      <c r="H104" s="457"/>
      <c r="R104" s="537" t="s">
        <v>436</v>
      </c>
      <c r="S104" s="537">
        <v>1</v>
      </c>
      <c r="T104" s="537">
        <v>-1</v>
      </c>
      <c r="U104" s="533">
        <f t="shared" ca="1" si="4"/>
        <v>3</v>
      </c>
    </row>
    <row r="105" spans="1:21" ht="24" x14ac:dyDescent="0.25">
      <c r="A105" s="537" t="s">
        <v>29</v>
      </c>
      <c r="B105" s="537" t="str">
        <f>_xlfn.XLOOKUP(A105,'Traçabilité et info patient'!$C$2:$AF$2,'Traçabilité et info patient'!$C$11:$AF$11)</f>
        <v>CHIRURGIEN 06</v>
      </c>
      <c r="C105" s="537">
        <f>_xlfn.XLOOKUP(A105,'Traçabilité et info patient'!$C$2:$AF$2,'Traçabilité et info patient'!$C$9:$AF$9)</f>
        <v>0</v>
      </c>
      <c r="D105" s="537" t="str">
        <f>_xlfn.XLOOKUP(A105,'Traçabilité et info patient'!$C$2:$AF$2,'Traçabilité et info patient'!$C$8:$AF$8)</f>
        <v>DMI 6</v>
      </c>
      <c r="E105" s="537" t="str">
        <f ca="1">OFFSET('Traçabilité et info patient'!$C$46, 0, ROW(A2)-1)</f>
        <v>Oui</v>
      </c>
      <c r="F105" s="537" t="str">
        <f ca="1">OFFSET('Traçabilité et info patient'!$C$95, 0, ROW(A2)-1)</f>
        <v>Non</v>
      </c>
      <c r="G105" s="537" t="str">
        <f t="shared" ca="1" si="5"/>
        <v>Écart : information reçue mais non tracée dans le SI</v>
      </c>
      <c r="H105" s="457"/>
      <c r="R105" s="537" t="s">
        <v>435</v>
      </c>
      <c r="S105" s="537">
        <v>-1</v>
      </c>
      <c r="T105" s="537">
        <v>1</v>
      </c>
      <c r="U105" s="533">
        <f t="shared" ca="1" si="4"/>
        <v>11</v>
      </c>
    </row>
    <row r="106" spans="1:21" x14ac:dyDescent="0.25">
      <c r="A106" s="537" t="s">
        <v>30</v>
      </c>
      <c r="B106" s="537" t="str">
        <f>_xlfn.XLOOKUP(A106,'Traçabilité et info patient'!$C$2:$AF$2,'Traçabilité et info patient'!$C$11:$AF$11)</f>
        <v>CHIRURGIEN 03</v>
      </c>
      <c r="C106" s="537" t="str">
        <f>_xlfn.XLOOKUP(A106,'Traçabilité et info patient'!$C$2:$AF$2,'Traçabilité et info patient'!$C$9:$AF$9)</f>
        <v>Chirurgie ophtalmique</v>
      </c>
      <c r="D106" s="537" t="str">
        <f>_xlfn.XLOOKUP(A106,'Traçabilité et info patient'!$C$2:$AF$2,'Traçabilité et info patient'!$C$8:$AF$8)</f>
        <v>DMI 3</v>
      </c>
      <c r="E106" s="537" t="str">
        <f ca="1">OFFSET('Traçabilité et info patient'!$C$46, 0, ROW(A3)-1)</f>
        <v>Oui</v>
      </c>
      <c r="F106" s="537" t="str">
        <f ca="1">OFFSET('Traçabilité et info patient'!$C$95, 0, ROW(A3)-1)</f>
        <v>Oui</v>
      </c>
      <c r="G106" s="537" t="str">
        <f t="shared" ca="1" si="5"/>
        <v>Processus conforme</v>
      </c>
      <c r="H106" s="457"/>
    </row>
    <row r="107" spans="1:21" x14ac:dyDescent="0.25">
      <c r="A107" s="537" t="s">
        <v>31</v>
      </c>
      <c r="B107" s="537" t="str">
        <f>_xlfn.XLOOKUP(A107,'Traçabilité et info patient'!$C$2:$AF$2,'Traçabilité et info patient'!$C$11:$AF$11)</f>
        <v>CHIRURGIEN 02</v>
      </c>
      <c r="C107" s="537" t="str">
        <f>_xlfn.XLOOKUP(A107,'Traçabilité et info patient'!$C$2:$AF$2,'Traçabilité et info patient'!$C$9:$AF$9)</f>
        <v>Chirurgie digestive et viscérale</v>
      </c>
      <c r="D107" s="537" t="str">
        <f>_xlfn.XLOOKUP(A107,'Traçabilité et info patient'!$C$2:$AF$2,'Traçabilité et info patient'!$C$8:$AF$8)</f>
        <v>DMI 2</v>
      </c>
      <c r="E107" s="537" t="str">
        <f ca="1">OFFSET('Traçabilité et info patient'!$C$46, 0, ROW(A4)-1)</f>
        <v>Oui</v>
      </c>
      <c r="F107" s="537" t="str">
        <f ca="1">OFFSET('Traçabilité et info patient'!$C$95, 0, ROW(A4)-1)</f>
        <v>Non</v>
      </c>
      <c r="G107" s="537" t="str">
        <f t="shared" ca="1" si="5"/>
        <v>Écart : information reçue mais non tracée dans le SI</v>
      </c>
      <c r="H107" s="457"/>
    </row>
    <row r="108" spans="1:21" x14ac:dyDescent="0.25">
      <c r="A108" s="537" t="s">
        <v>32</v>
      </c>
      <c r="B108" s="537" t="str">
        <f>_xlfn.XLOOKUP(A108,'Traçabilité et info patient'!$C$2:$AF$2,'Traçabilité et info patient'!$C$11:$AF$11)</f>
        <v>CHIRURGIEN 10</v>
      </c>
      <c r="C108" s="537">
        <f>_xlfn.XLOOKUP(A108,'Traçabilité et info patient'!$C$2:$AF$2,'Traçabilité et info patient'!$C$9:$AF$9)</f>
        <v>0</v>
      </c>
      <c r="D108" s="537" t="str">
        <f>_xlfn.XLOOKUP(A108,'Traçabilité et info patient'!$C$2:$AF$2,'Traçabilité et info patient'!$C$8:$AF$8)</f>
        <v>DMI 10</v>
      </c>
      <c r="E108" s="537" t="str">
        <f ca="1">OFFSET('Traçabilité et info patient'!$C$46, 0, ROW(A5)-1)</f>
        <v>Oui</v>
      </c>
      <c r="F108" s="537" t="str">
        <f ca="1">OFFSET('Traçabilité et info patient'!$C$95, 0, ROW(A5)-1)</f>
        <v>Oui</v>
      </c>
      <c r="G108" s="537" t="str">
        <f t="shared" ca="1" si="5"/>
        <v>Processus conforme</v>
      </c>
      <c r="H108" s="457"/>
    </row>
    <row r="109" spans="1:21" x14ac:dyDescent="0.25">
      <c r="A109" s="537" t="s">
        <v>33</v>
      </c>
      <c r="B109" s="537" t="e">
        <f>_xlfn.XLOOKUP(A109,'Traçabilité et info patient'!$C$2:$AF$2,'Traçabilité et info patient'!$C$11:$AF$11)</f>
        <v>#N/A</v>
      </c>
      <c r="C109" s="537" t="e">
        <f>_xlfn.XLOOKUP(A109,'Traçabilité et info patient'!$C$2:$AF$2,'Traçabilité et info patient'!$C$9:$AF$9)</f>
        <v>#N/A</v>
      </c>
      <c r="D109" s="537">
        <f>_xlfn.XLOOKUP(A109,'Traçabilité et info patient'!$C$2:$AF$2,'Traçabilité et info patient'!$C$8:$AF$8)</f>
        <v>0</v>
      </c>
      <c r="E109" s="537" t="str">
        <f ca="1">OFFSET('Traçabilité et info patient'!$C$46, 0, ROW(A6)-1)</f>
        <v>Oui</v>
      </c>
      <c r="F109" s="537" t="str">
        <f ca="1">OFFSET('Traçabilité et info patient'!$C$95, 0, ROW(A6)-1)</f>
        <v>Non</v>
      </c>
      <c r="G109" s="537" t="str">
        <f t="shared" ca="1" si="5"/>
        <v>Écart : information reçue mais non tracée dans le SI</v>
      </c>
      <c r="H109" s="457"/>
    </row>
    <row r="110" spans="1:21" x14ac:dyDescent="0.25">
      <c r="A110" s="537" t="s">
        <v>34</v>
      </c>
      <c r="B110" s="537" t="e">
        <f>_xlfn.XLOOKUP(A110,'Traçabilité et info patient'!$C$2:$AF$2,'Traçabilité et info patient'!$C$11:$AF$11)</f>
        <v>#N/A</v>
      </c>
      <c r="C110" s="537" t="e">
        <f>_xlfn.XLOOKUP(A110,'Traçabilité et info patient'!$C$2:$AF$2,'Traçabilité et info patient'!$C$9:$AF$9)</f>
        <v>#N/A</v>
      </c>
      <c r="D110" s="537">
        <f>_xlfn.XLOOKUP(A110,'Traçabilité et info patient'!$C$2:$AF$2,'Traçabilité et info patient'!$C$8:$AF$8)</f>
        <v>0</v>
      </c>
      <c r="E110" s="537" t="str">
        <f ca="1">OFFSET('Traçabilité et info patient'!$C$46, 0, ROW(A7)-1)</f>
        <v>Oui</v>
      </c>
      <c r="F110" s="537" t="str">
        <f ca="1">OFFSET('Traçabilité et info patient'!$C$95, 0, ROW(A7)-1)</f>
        <v>Oui</v>
      </c>
      <c r="G110" s="537" t="str">
        <f t="shared" ca="1" si="5"/>
        <v>Processus conforme</v>
      </c>
      <c r="H110" s="457"/>
    </row>
    <row r="111" spans="1:21" x14ac:dyDescent="0.25">
      <c r="A111" s="537" t="s">
        <v>35</v>
      </c>
      <c r="B111" s="537" t="e">
        <f>_xlfn.XLOOKUP(A111,'Traçabilité et info patient'!$C$2:$AF$2,'Traçabilité et info patient'!$C$11:$AF$11)</f>
        <v>#N/A</v>
      </c>
      <c r="C111" s="537" t="e">
        <f>_xlfn.XLOOKUP(A111,'Traçabilité et info patient'!$C$2:$AF$2,'Traçabilité et info patient'!$C$9:$AF$9)</f>
        <v>#N/A</v>
      </c>
      <c r="D111" s="537">
        <f>_xlfn.XLOOKUP(A111,'Traçabilité et info patient'!$C$2:$AF$2,'Traçabilité et info patient'!$C$8:$AF$8)</f>
        <v>0</v>
      </c>
      <c r="E111" s="537" t="str">
        <f ca="1">OFFSET('Traçabilité et info patient'!$C$46, 0, ROW(A8)-1)</f>
        <v>Non</v>
      </c>
      <c r="F111" s="537" t="str">
        <f ca="1">OFFSET('Traçabilité et info patient'!$C$95, 0, ROW(A8)-1)</f>
        <v>Non</v>
      </c>
      <c r="G111" s="537" t="str">
        <f t="shared" ca="1" si="5"/>
        <v>Processus non conforme : Information non reçue &amp; non enregistrée dans le SI</v>
      </c>
      <c r="H111" s="457"/>
    </row>
    <row r="112" spans="1:21" x14ac:dyDescent="0.25">
      <c r="A112" s="537" t="s">
        <v>36</v>
      </c>
      <c r="B112" s="537" t="e">
        <f>_xlfn.XLOOKUP(A112,'Traçabilité et info patient'!$C$2:$AF$2,'Traçabilité et info patient'!$C$11:$AF$11)</f>
        <v>#N/A</v>
      </c>
      <c r="C112" s="537" t="e">
        <f>_xlfn.XLOOKUP(A112,'Traçabilité et info patient'!$C$2:$AF$2,'Traçabilité et info patient'!$C$9:$AF$9)</f>
        <v>#N/A</v>
      </c>
      <c r="D112" s="537">
        <f>_xlfn.XLOOKUP(A112,'Traçabilité et info patient'!$C$2:$AF$2,'Traçabilité et info patient'!$C$8:$AF$8)</f>
        <v>0</v>
      </c>
      <c r="E112" s="537" t="str">
        <f ca="1">OFFSET('Traçabilité et info patient'!$C$46, 0, ROW(A9)-1)</f>
        <v>Non</v>
      </c>
      <c r="F112" s="537" t="str">
        <f ca="1">OFFSET('Traçabilité et info patient'!$C$95, 0, ROW(A9)-1)</f>
        <v>Oui</v>
      </c>
      <c r="G112" s="537" t="str">
        <f t="shared" ca="1" si="5"/>
        <v>Écart : information non reçue mais tracée dans le SI</v>
      </c>
      <c r="H112" s="457"/>
    </row>
    <row r="113" spans="1:8" x14ac:dyDescent="0.25">
      <c r="A113" s="537" t="s">
        <v>37</v>
      </c>
      <c r="B113" s="537" t="e">
        <f>_xlfn.XLOOKUP(A113,'Traçabilité et info patient'!$C$2:$AF$2,'Traçabilité et info patient'!$C$11:$AF$11)</f>
        <v>#N/A</v>
      </c>
      <c r="C113" s="537" t="e">
        <f>_xlfn.XLOOKUP(A113,'Traçabilité et info patient'!$C$2:$AF$2,'Traçabilité et info patient'!$C$9:$AF$9)</f>
        <v>#N/A</v>
      </c>
      <c r="D113" s="537">
        <f>_xlfn.XLOOKUP(A113,'Traçabilité et info patient'!$C$2:$AF$2,'Traçabilité et info patient'!$C$8:$AF$8)</f>
        <v>0</v>
      </c>
      <c r="E113" s="537" t="str">
        <f ca="1">OFFSET('Traçabilité et info patient'!$C$46, 0, ROW(A10)-1)</f>
        <v>Non</v>
      </c>
      <c r="F113" s="537" t="str">
        <f ca="1">OFFSET('Traçabilité et info patient'!$C$95, 0, ROW(A10)-1)</f>
        <v>Non</v>
      </c>
      <c r="G113" s="537" t="str">
        <f t="shared" ca="1" si="5"/>
        <v>Processus non conforme : Information non reçue &amp; non enregistrée dans le SI</v>
      </c>
      <c r="H113" s="457"/>
    </row>
    <row r="114" spans="1:8" x14ac:dyDescent="0.25">
      <c r="A114" s="537" t="s">
        <v>38</v>
      </c>
      <c r="B114" s="537" t="e">
        <f>_xlfn.XLOOKUP(A114,'Traçabilité et info patient'!$C$2:$AF$2,'Traçabilité et info patient'!$C$11:$AF$11)</f>
        <v>#N/A</v>
      </c>
      <c r="C114" s="537" t="e">
        <f>_xlfn.XLOOKUP(A114,'Traçabilité et info patient'!$C$2:$AF$2,'Traçabilité et info patient'!$C$9:$AF$9)</f>
        <v>#N/A</v>
      </c>
      <c r="D114" s="537">
        <f>_xlfn.XLOOKUP(A114,'Traçabilité et info patient'!$C$2:$AF$2,'Traçabilité et info patient'!$C$8:$AF$8)</f>
        <v>0</v>
      </c>
      <c r="E114" s="537" t="str">
        <f ca="1">OFFSET('Traçabilité et info patient'!$C$46, 0, ROW(A11)-1)</f>
        <v>Non</v>
      </c>
      <c r="F114" s="537" t="str">
        <f ca="1">OFFSET('Traçabilité et info patient'!$C$95, 0, ROW(A11)-1)</f>
        <v>Oui</v>
      </c>
      <c r="G114" s="537" t="str">
        <f t="shared" ca="1" si="5"/>
        <v>Écart : information non reçue mais tracée dans le SI</v>
      </c>
      <c r="H114" s="457"/>
    </row>
    <row r="115" spans="1:8" x14ac:dyDescent="0.25">
      <c r="A115" s="537" t="s">
        <v>39</v>
      </c>
      <c r="B115" s="537" t="e">
        <f>_xlfn.XLOOKUP(A115,'Traçabilité et info patient'!$C$2:$AF$2,'Traçabilité et info patient'!$C$11:$AF$11)</f>
        <v>#N/A</v>
      </c>
      <c r="C115" s="537" t="e">
        <f>_xlfn.XLOOKUP(A115,'Traçabilité et info patient'!$C$2:$AF$2,'Traçabilité et info patient'!$C$9:$AF$9)</f>
        <v>#N/A</v>
      </c>
      <c r="D115" s="537">
        <f>_xlfn.XLOOKUP(A115,'Traçabilité et info patient'!$C$2:$AF$2,'Traçabilité et info patient'!$C$8:$AF$8)</f>
        <v>0</v>
      </c>
      <c r="E115" s="537" t="str">
        <f ca="1">OFFSET('Traçabilité et info patient'!$C$46, 0, ROW(A12)-1)</f>
        <v>Non</v>
      </c>
      <c r="F115" s="537" t="str">
        <f ca="1">OFFSET('Traçabilité et info patient'!$C$95, 0, ROW(A12)-1)</f>
        <v>Non</v>
      </c>
      <c r="G115" s="537" t="str">
        <f t="shared" ca="1" si="5"/>
        <v>Processus non conforme : Information non reçue &amp; non enregistrée dans le SI</v>
      </c>
      <c r="H115" s="457"/>
    </row>
    <row r="116" spans="1:8" x14ac:dyDescent="0.25">
      <c r="A116" s="537" t="s">
        <v>40</v>
      </c>
      <c r="B116" s="537" t="e">
        <f>_xlfn.XLOOKUP(A116,'Traçabilité et info patient'!$C$2:$AF$2,'Traçabilité et info patient'!$C$11:$AF$11)</f>
        <v>#N/A</v>
      </c>
      <c r="C116" s="537" t="e">
        <f>_xlfn.XLOOKUP(A116,'Traçabilité et info patient'!$C$2:$AF$2,'Traçabilité et info patient'!$C$9:$AF$9)</f>
        <v>#N/A</v>
      </c>
      <c r="D116" s="537">
        <f>_xlfn.XLOOKUP(A116,'Traçabilité et info patient'!$C$2:$AF$2,'Traçabilité et info patient'!$C$8:$AF$8)</f>
        <v>0</v>
      </c>
      <c r="E116" s="537" t="str">
        <f ca="1">OFFSET('Traçabilité et info patient'!$C$46, 0, ROW(A13)-1)</f>
        <v>Je ne sais plus</v>
      </c>
      <c r="F116" s="537" t="str">
        <f ca="1">OFFSET('Traçabilité et info patient'!$C$95, 0, ROW(A13)-1)</f>
        <v>Oui</v>
      </c>
      <c r="G116" s="537" t="str">
        <f t="shared" ca="1" si="5"/>
        <v>Écart : information non reçue mais tracée dans le SI</v>
      </c>
      <c r="H116" s="457"/>
    </row>
    <row r="117" spans="1:8" x14ac:dyDescent="0.25">
      <c r="A117" s="537" t="s">
        <v>41</v>
      </c>
      <c r="B117" s="537" t="e">
        <f>_xlfn.XLOOKUP(A117,'Traçabilité et info patient'!$C$2:$AF$2,'Traçabilité et info patient'!$C$11:$AF$11)</f>
        <v>#N/A</v>
      </c>
      <c r="C117" s="537" t="e">
        <f>_xlfn.XLOOKUP(A117,'Traçabilité et info patient'!$C$2:$AF$2,'Traçabilité et info patient'!$C$9:$AF$9)</f>
        <v>#N/A</v>
      </c>
      <c r="D117" s="537">
        <f>_xlfn.XLOOKUP(A117,'Traçabilité et info patient'!$C$2:$AF$2,'Traçabilité et info patient'!$C$8:$AF$8)</f>
        <v>0</v>
      </c>
      <c r="E117" s="537" t="str">
        <f ca="1">OFFSET('Traçabilité et info patient'!$C$46, 0, ROW(A14)-1)</f>
        <v>Je ne sais plus</v>
      </c>
      <c r="F117" s="537" t="str">
        <f ca="1">OFFSET('Traçabilité et info patient'!$C$95, 0, ROW(A14)-1)</f>
        <v>Non</v>
      </c>
      <c r="G117" s="537" t="str">
        <f t="shared" ca="1" si="5"/>
        <v>Processus non conforme : Information non reçue &amp; non enregistrée dans le SI</v>
      </c>
      <c r="H117" s="457"/>
    </row>
    <row r="118" spans="1:8" x14ac:dyDescent="0.25">
      <c r="A118" s="537" t="s">
        <v>42</v>
      </c>
      <c r="B118" s="537" t="e">
        <f>_xlfn.XLOOKUP(A118,'Traçabilité et info patient'!$C$2:$AF$2,'Traçabilité et info patient'!$C$11:$AF$11)</f>
        <v>#N/A</v>
      </c>
      <c r="C118" s="537" t="e">
        <f>_xlfn.XLOOKUP(A118,'Traçabilité et info patient'!$C$2:$AF$2,'Traçabilité et info patient'!$C$9:$AF$9)</f>
        <v>#N/A</v>
      </c>
      <c r="D118" s="537">
        <f>_xlfn.XLOOKUP(A118,'Traçabilité et info patient'!$C$2:$AF$2,'Traçabilité et info patient'!$C$8:$AF$8)</f>
        <v>0</v>
      </c>
      <c r="E118" s="537" t="str">
        <f ca="1">OFFSET('Traçabilité et info patient'!$C$46, 0, ROW(A15)-1)</f>
        <v>Je ne sais plus</v>
      </c>
      <c r="F118" s="537" t="str">
        <f ca="1">OFFSET('Traçabilité et info patient'!$C$95, 0, ROW(A15)-1)</f>
        <v>Oui</v>
      </c>
      <c r="G118" s="537" t="str">
        <f t="shared" ca="1" si="5"/>
        <v>Écart : information non reçue mais tracée dans le SI</v>
      </c>
      <c r="H118" s="457"/>
    </row>
    <row r="119" spans="1:8" x14ac:dyDescent="0.25">
      <c r="A119" s="537" t="s">
        <v>43</v>
      </c>
      <c r="B119" s="537" t="e">
        <f>_xlfn.XLOOKUP(A119,'Traçabilité et info patient'!$C$2:$AF$2,'Traçabilité et info patient'!$C$11:$AF$11)</f>
        <v>#N/A</v>
      </c>
      <c r="C119" s="537" t="e">
        <f>_xlfn.XLOOKUP(A119,'Traçabilité et info patient'!$C$2:$AF$2,'Traçabilité et info patient'!$C$9:$AF$9)</f>
        <v>#N/A</v>
      </c>
      <c r="D119" s="537">
        <f>_xlfn.XLOOKUP(A119,'Traçabilité et info patient'!$C$2:$AF$2,'Traçabilité et info patient'!$C$8:$AF$8)</f>
        <v>0</v>
      </c>
      <c r="E119" s="537" t="str">
        <f ca="1">OFFSET('Traçabilité et info patient'!$C$46, 0, ROW(A16)-1)</f>
        <v>Je ne sais plus</v>
      </c>
      <c r="F119" s="537" t="str">
        <f ca="1">OFFSET('Traçabilité et info patient'!$C$95, 0, ROW(A16)-1)</f>
        <v>Non</v>
      </c>
      <c r="G119" s="537" t="str">
        <f t="shared" ca="1" si="5"/>
        <v>Processus non conforme : Information non reçue &amp; non enregistrée dans le SI</v>
      </c>
      <c r="H119" s="457"/>
    </row>
    <row r="120" spans="1:8" x14ac:dyDescent="0.25">
      <c r="A120" s="537" t="s">
        <v>44</v>
      </c>
      <c r="B120" s="537" t="e">
        <f>_xlfn.XLOOKUP(A120,'Traçabilité et info patient'!$C$2:$AF$2,'Traçabilité et info patient'!$C$11:$AF$11)</f>
        <v>#N/A</v>
      </c>
      <c r="C120" s="537" t="e">
        <f>_xlfn.XLOOKUP(A120,'Traçabilité et info patient'!$C$2:$AF$2,'Traçabilité et info patient'!$C$9:$AF$9)</f>
        <v>#N/A</v>
      </c>
      <c r="D120" s="537">
        <f>_xlfn.XLOOKUP(A120,'Traçabilité et info patient'!$C$2:$AF$2,'Traçabilité et info patient'!$C$8:$AF$8)</f>
        <v>0</v>
      </c>
      <c r="E120" s="537" t="str">
        <f ca="1">OFFSET('Traçabilité et info patient'!$C$46, 0, ROW(A17)-1)</f>
        <v>Je ne sais plus</v>
      </c>
      <c r="F120" s="537" t="str">
        <f ca="1">OFFSET('Traçabilité et info patient'!$C$95, 0, ROW(A17)-1)</f>
        <v>Oui</v>
      </c>
      <c r="G120" s="537" t="str">
        <f t="shared" ca="1" si="5"/>
        <v>Écart : information non reçue mais tracée dans le SI</v>
      </c>
      <c r="H120" s="457"/>
    </row>
    <row r="121" spans="1:8" x14ac:dyDescent="0.25">
      <c r="A121" s="537" t="s">
        <v>45</v>
      </c>
      <c r="B121" s="537" t="e">
        <f>_xlfn.XLOOKUP(A121,'Traçabilité et info patient'!$C$2:$AF$2,'Traçabilité et info patient'!$C$11:$AF$11)</f>
        <v>#N/A</v>
      </c>
      <c r="C121" s="537" t="e">
        <f>_xlfn.XLOOKUP(A121,'Traçabilité et info patient'!$C$2:$AF$2,'Traçabilité et info patient'!$C$9:$AF$9)</f>
        <v>#N/A</v>
      </c>
      <c r="D121" s="537">
        <f>_xlfn.XLOOKUP(A121,'Traçabilité et info patient'!$C$2:$AF$2,'Traçabilité et info patient'!$C$8:$AF$8)</f>
        <v>0</v>
      </c>
      <c r="E121" s="537" t="str">
        <f ca="1">OFFSET('Traçabilité et info patient'!$C$46, 0, ROW(A18)-1)</f>
        <v>Je ne sais plus</v>
      </c>
      <c r="F121" s="537" t="str">
        <f ca="1">OFFSET('Traçabilité et info patient'!$C$95, 0, ROW(A18)-1)</f>
        <v>Non</v>
      </c>
      <c r="G121" s="537" t="str">
        <f t="shared" ca="1" si="5"/>
        <v>Processus non conforme : Information non reçue &amp; non enregistrée dans le SI</v>
      </c>
      <c r="H121" s="457"/>
    </row>
    <row r="122" spans="1:8" x14ac:dyDescent="0.25">
      <c r="A122" s="537" t="s">
        <v>46</v>
      </c>
      <c r="B122" s="537" t="e">
        <f>_xlfn.XLOOKUP(A122,'Traçabilité et info patient'!$C$2:$AF$2,'Traçabilité et info patient'!$C$11:$AF$11)</f>
        <v>#N/A</v>
      </c>
      <c r="C122" s="537" t="e">
        <f>_xlfn.XLOOKUP(A122,'Traçabilité et info patient'!$C$2:$AF$2,'Traçabilité et info patient'!$C$9:$AF$9)</f>
        <v>#N/A</v>
      </c>
      <c r="D122" s="537">
        <f>_xlfn.XLOOKUP(A122,'Traçabilité et info patient'!$C$2:$AF$2,'Traçabilité et info patient'!$C$8:$AF$8)</f>
        <v>0</v>
      </c>
      <c r="E122" s="537" t="str">
        <f ca="1">OFFSET('Traçabilité et info patient'!$C$46, 0, ROW(A19)-1)</f>
        <v>Je ne sais plus</v>
      </c>
      <c r="F122" s="537" t="str">
        <f ca="1">OFFSET('Traçabilité et info patient'!$C$95, 0, ROW(A19)-1)</f>
        <v>Oui</v>
      </c>
      <c r="G122" s="537" t="str">
        <f t="shared" ca="1" si="5"/>
        <v>Écart : information non reçue mais tracée dans le SI</v>
      </c>
      <c r="H122" s="457"/>
    </row>
    <row r="123" spans="1:8" x14ac:dyDescent="0.25">
      <c r="A123" s="537" t="s">
        <v>47</v>
      </c>
      <c r="B123" s="537" t="e">
        <f>_xlfn.XLOOKUP(A123,'Traçabilité et info patient'!$C$2:$AF$2,'Traçabilité et info patient'!$C$11:$AF$11)</f>
        <v>#N/A</v>
      </c>
      <c r="C123" s="537" t="e">
        <f>_xlfn.XLOOKUP(A123,'Traçabilité et info patient'!$C$2:$AF$2,'Traçabilité et info patient'!$C$9:$AF$9)</f>
        <v>#N/A</v>
      </c>
      <c r="D123" s="537">
        <f>_xlfn.XLOOKUP(A123,'Traçabilité et info patient'!$C$2:$AF$2,'Traçabilité et info patient'!$C$8:$AF$8)</f>
        <v>0</v>
      </c>
      <c r="E123" s="537" t="str">
        <f ca="1">OFFSET('Traçabilité et info patient'!$C$46, 0, ROW(A20)-1)</f>
        <v>Je ne sais plus</v>
      </c>
      <c r="F123" s="537" t="str">
        <f ca="1">OFFSET('Traçabilité et info patient'!$C$95, 0, ROW(A20)-1)</f>
        <v>Non</v>
      </c>
      <c r="G123" s="537" t="str">
        <f t="shared" ca="1" si="5"/>
        <v>Processus non conforme : Information non reçue &amp; non enregistrée dans le SI</v>
      </c>
      <c r="H123" s="457"/>
    </row>
    <row r="124" spans="1:8" x14ac:dyDescent="0.25">
      <c r="A124" s="537" t="s">
        <v>48</v>
      </c>
      <c r="B124" s="537" t="e">
        <f>_xlfn.XLOOKUP(A124,'Traçabilité et info patient'!$C$2:$AF$2,'Traçabilité et info patient'!$C$11:$AF$11)</f>
        <v>#N/A</v>
      </c>
      <c r="C124" s="537" t="e">
        <f>_xlfn.XLOOKUP(A124,'Traçabilité et info patient'!$C$2:$AF$2,'Traçabilité et info patient'!$C$9:$AF$9)</f>
        <v>#N/A</v>
      </c>
      <c r="D124" s="537">
        <f>_xlfn.XLOOKUP(A124,'Traçabilité et info patient'!$C$2:$AF$2,'Traçabilité et info patient'!$C$8:$AF$8)</f>
        <v>0</v>
      </c>
      <c r="E124" s="537" t="str">
        <f ca="1">OFFSET('Traçabilité et info patient'!$C$46, 0, ROW(A21)-1)</f>
        <v>Je ne sais plus</v>
      </c>
      <c r="F124" s="537" t="str">
        <f ca="1">OFFSET('Traçabilité et info patient'!$C$95, 0, ROW(A21)-1)</f>
        <v>Oui</v>
      </c>
      <c r="G124" s="537" t="str">
        <f t="shared" ca="1" si="5"/>
        <v>Écart : information non reçue mais tracée dans le SI</v>
      </c>
      <c r="H124" s="457"/>
    </row>
    <row r="125" spans="1:8" x14ac:dyDescent="0.25">
      <c r="A125" s="537" t="s">
        <v>49</v>
      </c>
      <c r="B125" s="537" t="e">
        <f>_xlfn.XLOOKUP(A125,'Traçabilité et info patient'!$C$2:$AF$2,'Traçabilité et info patient'!$C$11:$AF$11)</f>
        <v>#N/A</v>
      </c>
      <c r="C125" s="537" t="e">
        <f>_xlfn.XLOOKUP(A125,'Traçabilité et info patient'!$C$2:$AF$2,'Traçabilité et info patient'!$C$9:$AF$9)</f>
        <v>#N/A</v>
      </c>
      <c r="D125" s="537">
        <f>_xlfn.XLOOKUP(A125,'Traçabilité et info patient'!$C$2:$AF$2,'Traçabilité et info patient'!$C$8:$AF$8)</f>
        <v>0</v>
      </c>
      <c r="E125" s="537" t="str">
        <f ca="1">OFFSET('Traçabilité et info patient'!$C$46, 0, ROW(A22)-1)</f>
        <v>Je ne sais plus</v>
      </c>
      <c r="F125" s="537" t="str">
        <f ca="1">OFFSET('Traçabilité et info patient'!$C$95, 0, ROW(A22)-1)</f>
        <v>Non</v>
      </c>
      <c r="G125" s="537" t="str">
        <f t="shared" ca="1" si="5"/>
        <v>Processus non conforme : Information non reçue &amp; non enregistrée dans le SI</v>
      </c>
      <c r="H125" s="457"/>
    </row>
    <row r="126" spans="1:8" x14ac:dyDescent="0.25">
      <c r="A126" s="537" t="s">
        <v>50</v>
      </c>
      <c r="B126" s="537" t="e">
        <f>_xlfn.XLOOKUP(A126,'Traçabilité et info patient'!$C$2:$AF$2,'Traçabilité et info patient'!$C$11:$AF$11)</f>
        <v>#N/A</v>
      </c>
      <c r="C126" s="537" t="e">
        <f>_xlfn.XLOOKUP(A126,'Traçabilité et info patient'!$C$2:$AF$2,'Traçabilité et info patient'!$C$9:$AF$9)</f>
        <v>#N/A</v>
      </c>
      <c r="D126" s="537">
        <f>_xlfn.XLOOKUP(A126,'Traçabilité et info patient'!$C$2:$AF$2,'Traçabilité et info patient'!$C$8:$AF$8)</f>
        <v>0</v>
      </c>
      <c r="E126" s="537" t="str">
        <f ca="1">OFFSET('Traçabilité et info patient'!$C$46, 0, ROW(A23)-1)</f>
        <v>Je ne sais plus</v>
      </c>
      <c r="F126" s="537" t="str">
        <f ca="1">OFFSET('Traçabilité et info patient'!$C$95, 0, ROW(A23)-1)</f>
        <v>Oui</v>
      </c>
      <c r="G126" s="537" t="str">
        <f t="shared" ca="1" si="5"/>
        <v>Écart : information non reçue mais tracée dans le SI</v>
      </c>
      <c r="H126" s="457"/>
    </row>
    <row r="127" spans="1:8" x14ac:dyDescent="0.25">
      <c r="A127" s="537" t="s">
        <v>51</v>
      </c>
      <c r="B127" s="537" t="e">
        <f>_xlfn.XLOOKUP(A127,'Traçabilité et info patient'!$C$2:$AF$2,'Traçabilité et info patient'!$C$11:$AF$11)</f>
        <v>#N/A</v>
      </c>
      <c r="C127" s="537" t="e">
        <f>_xlfn.XLOOKUP(A127,'Traçabilité et info patient'!$C$2:$AF$2,'Traçabilité et info patient'!$C$9:$AF$9)</f>
        <v>#N/A</v>
      </c>
      <c r="D127" s="537">
        <f>_xlfn.XLOOKUP(A127,'Traçabilité et info patient'!$C$2:$AF$2,'Traçabilité et info patient'!$C$8:$AF$8)</f>
        <v>0</v>
      </c>
      <c r="E127" s="537" t="str">
        <f ca="1">OFFSET('Traçabilité et info patient'!$C$46, 0, ROW(A24)-1)</f>
        <v>Je ne sais plus</v>
      </c>
      <c r="F127" s="537" t="str">
        <f ca="1">OFFSET('Traçabilité et info patient'!$C$95, 0, ROW(A24)-1)</f>
        <v>Non</v>
      </c>
      <c r="G127" s="537" t="str">
        <f t="shared" ca="1" si="5"/>
        <v>Processus non conforme : Information non reçue &amp; non enregistrée dans le SI</v>
      </c>
      <c r="H127" s="457"/>
    </row>
    <row r="128" spans="1:8" x14ac:dyDescent="0.25">
      <c r="A128" s="537" t="s">
        <v>52</v>
      </c>
      <c r="B128" s="537" t="e">
        <f>_xlfn.XLOOKUP(A128,'Traçabilité et info patient'!$C$2:$AF$2,'Traçabilité et info patient'!$C$11:$AF$11)</f>
        <v>#N/A</v>
      </c>
      <c r="C128" s="537" t="e">
        <f>_xlfn.XLOOKUP(A128,'Traçabilité et info patient'!$C$2:$AF$2,'Traçabilité et info patient'!$C$9:$AF$9)</f>
        <v>#N/A</v>
      </c>
      <c r="D128" s="537">
        <f>_xlfn.XLOOKUP(A128,'Traçabilité et info patient'!$C$2:$AF$2,'Traçabilité et info patient'!$C$8:$AF$8)</f>
        <v>0</v>
      </c>
      <c r="E128" s="537" t="str">
        <f ca="1">OFFSET('Traçabilité et info patient'!$C$46, 0, ROW(A25)-1)</f>
        <v>Je ne sais plus</v>
      </c>
      <c r="F128" s="537" t="str">
        <f ca="1">OFFSET('Traçabilité et info patient'!$C$95, 0, ROW(A25)-1)</f>
        <v>Oui</v>
      </c>
      <c r="G128" s="537" t="str">
        <f t="shared" ca="1" si="5"/>
        <v>Écart : information non reçue mais tracée dans le SI</v>
      </c>
      <c r="H128" s="457"/>
    </row>
    <row r="129" spans="1:8" x14ac:dyDescent="0.25">
      <c r="A129" s="537" t="s">
        <v>53</v>
      </c>
      <c r="B129" s="537" t="e">
        <f>_xlfn.XLOOKUP(A129,'Traçabilité et info patient'!$C$2:$AF$2,'Traçabilité et info patient'!$C$11:$AF$11)</f>
        <v>#N/A</v>
      </c>
      <c r="C129" s="537" t="e">
        <f>_xlfn.XLOOKUP(A129,'Traçabilité et info patient'!$C$2:$AF$2,'Traçabilité et info patient'!$C$9:$AF$9)</f>
        <v>#N/A</v>
      </c>
      <c r="D129" s="537">
        <f>_xlfn.XLOOKUP(A129,'Traçabilité et info patient'!$C$2:$AF$2,'Traçabilité et info patient'!$C$8:$AF$8)</f>
        <v>0</v>
      </c>
      <c r="E129" s="537" t="str">
        <f ca="1">OFFSET('Traçabilité et info patient'!$C$46, 0, ROW(A26)-1)</f>
        <v>Je ne sais plus</v>
      </c>
      <c r="F129" s="537" t="str">
        <f ca="1">OFFSET('Traçabilité et info patient'!$C$95, 0, ROW(A26)-1)</f>
        <v>Non</v>
      </c>
      <c r="G129" s="537" t="str">
        <f t="shared" ca="1" si="5"/>
        <v>Processus non conforme : Information non reçue &amp; non enregistrée dans le SI</v>
      </c>
      <c r="H129" s="457"/>
    </row>
    <row r="130" spans="1:8" x14ac:dyDescent="0.25">
      <c r="A130" s="537" t="s">
        <v>54</v>
      </c>
      <c r="B130" s="537" t="e">
        <f>_xlfn.XLOOKUP(A130,'Traçabilité et info patient'!$C$2:$AF$2,'Traçabilité et info patient'!$C$11:$AF$11)</f>
        <v>#N/A</v>
      </c>
      <c r="C130" s="537" t="e">
        <f>_xlfn.XLOOKUP(A130,'Traçabilité et info patient'!$C$2:$AF$2,'Traçabilité et info patient'!$C$9:$AF$9)</f>
        <v>#N/A</v>
      </c>
      <c r="D130" s="537">
        <f>_xlfn.XLOOKUP(A130,'Traçabilité et info patient'!$C$2:$AF$2,'Traçabilité et info patient'!$C$8:$AF$8)</f>
        <v>0</v>
      </c>
      <c r="E130" s="537" t="str">
        <f ca="1">OFFSET('Traçabilité et info patient'!$C$46, 0, ROW(A27)-1)</f>
        <v>Je ne sais plus</v>
      </c>
      <c r="F130" s="537" t="str">
        <f ca="1">OFFSET('Traçabilité et info patient'!$C$95, 0, ROW(A27)-1)</f>
        <v>Oui</v>
      </c>
      <c r="G130" s="537" t="str">
        <f t="shared" ca="1" si="5"/>
        <v>Écart : information non reçue mais tracée dans le SI</v>
      </c>
      <c r="H130" s="457"/>
    </row>
    <row r="131" spans="1:8" x14ac:dyDescent="0.25">
      <c r="A131" s="537" t="s">
        <v>55</v>
      </c>
      <c r="B131" s="537" t="e">
        <f>_xlfn.XLOOKUP(A131,'Traçabilité et info patient'!$C$2:$AF$2,'Traçabilité et info patient'!$C$11:$AF$11)</f>
        <v>#N/A</v>
      </c>
      <c r="C131" s="537" t="e">
        <f>_xlfn.XLOOKUP(A131,'Traçabilité et info patient'!$C$2:$AF$2,'Traçabilité et info patient'!$C$9:$AF$9)</f>
        <v>#N/A</v>
      </c>
      <c r="D131" s="537">
        <f>_xlfn.XLOOKUP(A131,'Traçabilité et info patient'!$C$2:$AF$2,'Traçabilité et info patient'!$C$8:$AF$8)</f>
        <v>0</v>
      </c>
      <c r="E131" s="537" t="str">
        <f ca="1">OFFSET('Traçabilité et info patient'!$C$46, 0, ROW(A28)-1)</f>
        <v>Je ne sais plus</v>
      </c>
      <c r="F131" s="537" t="str">
        <f ca="1">OFFSET('Traçabilité et info patient'!$C$95, 0, ROW(A28)-1)</f>
        <v>Non</v>
      </c>
      <c r="G131" s="537" t="str">
        <f t="shared" ca="1" si="5"/>
        <v>Processus non conforme : Information non reçue &amp; non enregistrée dans le SI</v>
      </c>
      <c r="H131" s="457"/>
    </row>
    <row r="132" spans="1:8" x14ac:dyDescent="0.25">
      <c r="A132" s="537" t="s">
        <v>56</v>
      </c>
      <c r="B132" s="537" t="e">
        <f>_xlfn.XLOOKUP(A132,'Traçabilité et info patient'!$C$2:$AF$2,'Traçabilité et info patient'!$C$11:$AF$11)</f>
        <v>#N/A</v>
      </c>
      <c r="C132" s="537" t="e">
        <f>_xlfn.XLOOKUP(A132,'Traçabilité et info patient'!$C$2:$AF$2,'Traçabilité et info patient'!$C$9:$AF$9)</f>
        <v>#N/A</v>
      </c>
      <c r="D132" s="537">
        <f>_xlfn.XLOOKUP(A132,'Traçabilité et info patient'!$C$2:$AF$2,'Traçabilité et info patient'!$C$8:$AF$8)</f>
        <v>0</v>
      </c>
      <c r="E132" s="537" t="str">
        <f ca="1">OFFSET('Traçabilité et info patient'!$C$46, 0, ROW(A29)-1)</f>
        <v>Je ne sais plus</v>
      </c>
      <c r="F132" s="537" t="str">
        <f ca="1">OFFSET('Traçabilité et info patient'!$C$95, 0, ROW(A29)-1)</f>
        <v>Oui</v>
      </c>
      <c r="G132" s="537" t="str">
        <f t="shared" ca="1" si="5"/>
        <v>Écart : information non reçue mais tracée dans le SI</v>
      </c>
      <c r="H132" s="457"/>
    </row>
    <row r="133" spans="1:8" x14ac:dyDescent="0.25">
      <c r="A133" s="537" t="s">
        <v>57</v>
      </c>
      <c r="B133" s="537" t="e">
        <f>_xlfn.XLOOKUP(A133,'Traçabilité et info patient'!$C$2:$AF$2,'Traçabilité et info patient'!$C$11:$AF$11)</f>
        <v>#N/A</v>
      </c>
      <c r="C133" s="537" t="e">
        <f>_xlfn.XLOOKUP(A133,'Traçabilité et info patient'!$C$2:$AF$2,'Traçabilité et info patient'!$C$9:$AF$9)</f>
        <v>#N/A</v>
      </c>
      <c r="D133" s="537">
        <f>_xlfn.XLOOKUP(A133,'Traçabilité et info patient'!$C$2:$AF$2,'Traçabilité et info patient'!$C$8:$AF$8)</f>
        <v>0</v>
      </c>
      <c r="E133" s="537" t="str">
        <f ca="1">OFFSET('Traçabilité et info patient'!$C$46, 0, ROW(A30)-1)</f>
        <v>Je ne sais plus</v>
      </c>
      <c r="F133" s="537" t="str">
        <f ca="1">OFFSET('Traçabilité et info patient'!$C$95, 0, ROW(A30)-1)</f>
        <v>Non</v>
      </c>
      <c r="G133" s="537" t="str">
        <f t="shared" ca="1" si="5"/>
        <v>Processus non conforme : Information non reçue &amp; non enregistrée dans le SI</v>
      </c>
      <c r="H133" s="457"/>
    </row>
    <row r="134" spans="1:8" x14ac:dyDescent="0.25">
      <c r="H134" s="457"/>
    </row>
    <row r="135" spans="1:8" x14ac:dyDescent="0.25">
      <c r="H135" s="457"/>
    </row>
  </sheetData>
  <sheetProtection algorithmName="SHA-512" hashValue="qAAL+IpK17H1Gz5QZhLeeBB7nEaVUSgeQjvJ8f4gHYNFtllAvUUL3Cg5LSicEj8yQ3l/7WaZF5/dY4mCKZyY5A==" saltValue="3YTrGIUFyH/SehW+OyxXXA==" spinCount="100000" sheet="1" objects="1" scenarios="1" formatCells="0" formatColumns="0" formatRows="0" autoFilter="0" pivotTables="0"/>
  <autoFilter ref="A6:G36" xr:uid="{C5145F01-3FBD-42F2-A808-F35BFA698752}"/>
  <mergeCells count="8">
    <mergeCell ref="A101:H101"/>
    <mergeCell ref="I1:Q1"/>
    <mergeCell ref="I49:Q49"/>
    <mergeCell ref="I101:Q101"/>
    <mergeCell ref="A49:H49"/>
    <mergeCell ref="A4:H4"/>
    <mergeCell ref="A2:C2"/>
    <mergeCell ref="A1:C1"/>
  </mergeCells>
  <phoneticPr fontId="27" type="noConversion"/>
  <conditionalFormatting sqref="G7:G48 G82:G100">
    <cfRule type="cellIs" dxfId="11" priority="17" operator="equal">
      <formula>"Processus non conforme : Information non reçue &amp; non enregistrée dans le SI"</formula>
    </cfRule>
    <cfRule type="cellIs" dxfId="10" priority="18" operator="equal">
      <formula>"Écart : information non reçue mais tracée dans le SI"</formula>
    </cfRule>
    <cfRule type="cellIs" dxfId="9" priority="19" operator="equal">
      <formula>"Écart : information reçue mais non tracée dans le SI"</formula>
    </cfRule>
    <cfRule type="cellIs" dxfId="8" priority="20" operator="equal">
      <formula>"Processus conforme"</formula>
    </cfRule>
  </conditionalFormatting>
  <conditionalFormatting sqref="G52:G81">
    <cfRule type="cellIs" dxfId="7" priority="5" operator="equal">
      <formula>"Processus non conforme : Information non reçue &amp; non enregistrée dans le SI"</formula>
    </cfRule>
    <cfRule type="cellIs" dxfId="6" priority="6" operator="equal">
      <formula>"Écart : information non reçue mais tracée dans le SI"</formula>
    </cfRule>
    <cfRule type="cellIs" dxfId="5" priority="7" operator="equal">
      <formula>"Écart : information reçue mais non tracée dans le SI"</formula>
    </cfRule>
    <cfRule type="cellIs" dxfId="4" priority="8" operator="equal">
      <formula>"Processus conforme"</formula>
    </cfRule>
  </conditionalFormatting>
  <conditionalFormatting sqref="G104:G133">
    <cfRule type="cellIs" dxfId="3" priority="1" operator="equal">
      <formula>"Processus non conforme : Information non reçue &amp; non enregistrée dans le SI"</formula>
    </cfRule>
    <cfRule type="cellIs" dxfId="2" priority="2" operator="equal">
      <formula>"Écart : information non reçue mais tracée dans le SI"</formula>
    </cfRule>
    <cfRule type="cellIs" dxfId="1" priority="3" operator="equal">
      <formula>"Écart : information reçue mais non tracée dans le SI"</formula>
    </cfRule>
    <cfRule type="cellIs" dxfId="0" priority="4" operator="equal">
      <formula>"Processus conforme"</formula>
    </cfRule>
  </conditionalFormatting>
  <pageMargins left="0.7" right="0.7" top="0.75" bottom="0.75" header="0.3" footer="0.3"/>
  <pageSetup paperSize="9" scale="5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F63"/>
  </sheetPr>
  <dimension ref="A1:I21"/>
  <sheetViews>
    <sheetView zoomScaleNormal="100" zoomScalePageLayoutView="85" workbookViewId="0">
      <selection activeCell="F9" sqref="F9"/>
    </sheetView>
  </sheetViews>
  <sheetFormatPr baseColWidth="10" defaultColWidth="11.42578125" defaultRowHeight="15" x14ac:dyDescent="0.25"/>
  <cols>
    <col min="1" max="1" width="5.140625" style="3" bestFit="1" customWidth="1"/>
    <col min="2" max="2" width="10.5703125" style="3" bestFit="1" customWidth="1"/>
    <col min="3" max="3" width="43.7109375" style="198" bestFit="1" customWidth="1"/>
    <col min="4" max="4" width="43.7109375" style="3" bestFit="1" customWidth="1"/>
    <col min="5" max="5" width="15.7109375" style="3" bestFit="1" customWidth="1"/>
    <col min="6" max="6" width="11.140625" style="3" bestFit="1" customWidth="1"/>
    <col min="7" max="7" width="10.5703125" style="3" bestFit="1" customWidth="1"/>
    <col min="8" max="8" width="20.42578125" style="3" bestFit="1" customWidth="1"/>
    <col min="9" max="9" width="16.28515625" style="3" bestFit="1" customWidth="1"/>
    <col min="10" max="16384" width="11.42578125" style="3"/>
  </cols>
  <sheetData>
    <row r="1" spans="1:9" ht="25.5" customHeight="1" x14ac:dyDescent="0.25">
      <c r="A1" s="228" t="s">
        <v>182</v>
      </c>
      <c r="B1" s="229">
        <v>45941</v>
      </c>
    </row>
    <row r="2" spans="1:9" ht="25.5" customHeight="1" x14ac:dyDescent="0.25">
      <c r="C2" s="225" t="s">
        <v>175</v>
      </c>
      <c r="D2" s="221" t="s">
        <v>176</v>
      </c>
      <c r="E2" s="221" t="s">
        <v>177</v>
      </c>
      <c r="F2" s="221" t="s">
        <v>178</v>
      </c>
      <c r="G2" s="220" t="s">
        <v>179</v>
      </c>
      <c r="H2" s="221" t="s">
        <v>180</v>
      </c>
      <c r="I2" s="221" t="s">
        <v>181</v>
      </c>
    </row>
    <row r="3" spans="1:9" ht="25.5" customHeight="1" x14ac:dyDescent="0.25">
      <c r="B3" s="8">
        <v>1</v>
      </c>
      <c r="C3" s="226"/>
      <c r="D3" s="227"/>
      <c r="E3" s="223"/>
      <c r="F3" s="224"/>
      <c r="G3" s="222"/>
      <c r="H3" s="223"/>
      <c r="I3" s="223"/>
    </row>
    <row r="4" spans="1:9" ht="25.5" customHeight="1" x14ac:dyDescent="0.25">
      <c r="B4" s="8">
        <v>2</v>
      </c>
      <c r="C4" s="226"/>
      <c r="D4" s="227"/>
      <c r="E4" s="223"/>
      <c r="F4" s="224"/>
      <c r="G4" s="222"/>
      <c r="H4" s="223"/>
      <c r="I4" s="223"/>
    </row>
    <row r="5" spans="1:9" ht="25.5" customHeight="1" x14ac:dyDescent="0.25">
      <c r="B5" s="8">
        <v>3</v>
      </c>
      <c r="C5" s="226"/>
      <c r="D5" s="227"/>
      <c r="E5" s="223"/>
      <c r="F5" s="224"/>
      <c r="G5" s="222"/>
      <c r="H5" s="223"/>
      <c r="I5" s="223"/>
    </row>
    <row r="6" spans="1:9" ht="25.5" customHeight="1" x14ac:dyDescent="0.25">
      <c r="B6" s="8">
        <v>4</v>
      </c>
      <c r="C6" s="226"/>
      <c r="D6" s="227"/>
      <c r="E6" s="223"/>
      <c r="F6" s="224"/>
      <c r="G6" s="222"/>
      <c r="H6" s="223"/>
      <c r="I6" s="223"/>
    </row>
    <row r="7" spans="1:9" ht="25.5" customHeight="1" x14ac:dyDescent="0.25"/>
    <row r="8" spans="1:9" ht="25.5" customHeight="1" x14ac:dyDescent="0.25">
      <c r="C8" s="230" t="s">
        <v>482</v>
      </c>
      <c r="D8" s="230" t="s">
        <v>449</v>
      </c>
    </row>
    <row r="9" spans="1:9" ht="409.15" customHeight="1" x14ac:dyDescent="0.25">
      <c r="C9" s="47" t="str">
        <f>_xlfn.TEXTJOIN(CHAR(10),TRUE,'Traçabilité et info patient'!$C$66:$AF$66)</f>
        <v>test 1
test 2
test 3
test 4
test 5
test 6
test 7
test 8
test 9
test 10
test 11
test 12
test 13
test 14
test 15
test 16
test 17
test 18
test 19
test 20
test 21
test 22
test 23
test 24
test 25
test 26
test 27
test 28
test 29
test 30</v>
      </c>
      <c r="D9" s="47" t="str">
        <f>_xlfn.TEXTJOIN(CHAR(10),TRUE,'Traçabilité et info patient'!C68:AF68)</f>
        <v>suggestion 1
suggestion 2
suggestion 3
suggestion 4
suggestion 5
suggestion 6
suggestion 7
suggestion 8
suggestion 9
suggestion 10
suggestion 11
suggestion 12
suggestion 13
suggestion 14
suggestion 15
suggestion 16
suggestion 17
suggestion 18
suggestion 19
suggestion 20
suggestion 21
suggestion 22
suggestion 23
suggestion 24
suggestion 25
suggestion 26
suggestion 27
suggestion 28
suggestion 29
suggestion 30</v>
      </c>
    </row>
    <row r="10" spans="1:9" ht="25.5" customHeight="1" x14ac:dyDescent="0.25"/>
    <row r="11" spans="1:9" ht="25.5" customHeight="1" x14ac:dyDescent="0.25"/>
    <row r="12" spans="1:9" ht="25.5" customHeight="1" x14ac:dyDescent="0.25"/>
    <row r="13" spans="1:9" ht="25.5" customHeight="1" x14ac:dyDescent="0.25"/>
    <row r="14" spans="1:9" ht="25.5" customHeight="1" x14ac:dyDescent="0.25"/>
    <row r="15" spans="1:9" ht="25.5" customHeight="1" x14ac:dyDescent="0.25"/>
    <row r="16" spans="1:9" ht="25.5" customHeight="1" x14ac:dyDescent="0.25"/>
    <row r="17" ht="25.5" customHeight="1" x14ac:dyDescent="0.25"/>
    <row r="18" ht="25.5" customHeight="1" x14ac:dyDescent="0.25"/>
    <row r="19" ht="25.5" customHeight="1" x14ac:dyDescent="0.25"/>
    <row r="20" ht="25.5" customHeight="1" x14ac:dyDescent="0.25"/>
    <row r="21" ht="25.5" customHeight="1" x14ac:dyDescent="0.25"/>
  </sheetData>
  <pageMargins left="0.55208333333333337" right="0.51041666666666663" top="0.52083333333333337" bottom="0.39583333333333331"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e4aff37-ce57-4dec-9510-b8fe4e7495f5" xsi:nil="true"/>
    <lcf76f155ced4ddcb4097134ff3c332f xmlns="eadad4f6-1572-4b38-84f8-98a6803b10c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2E6086BF8C8D84986FFDCFCDC10696B" ma:contentTypeVersion="10" ma:contentTypeDescription="Crée un document." ma:contentTypeScope="" ma:versionID="ce1c499f23a84b7c63328af0330af2de">
  <xsd:schema xmlns:xsd="http://www.w3.org/2001/XMLSchema" xmlns:xs="http://www.w3.org/2001/XMLSchema" xmlns:p="http://schemas.microsoft.com/office/2006/metadata/properties" xmlns:ns2="eadad4f6-1572-4b38-84f8-98a6803b10cd" xmlns:ns3="9e4aff37-ce57-4dec-9510-b8fe4e7495f5" targetNamespace="http://schemas.microsoft.com/office/2006/metadata/properties" ma:root="true" ma:fieldsID="72dccb021a6a831e58eb031a627b0804" ns2:_="" ns3:_="">
    <xsd:import namespace="eadad4f6-1572-4b38-84f8-98a6803b10cd"/>
    <xsd:import namespace="9e4aff37-ce57-4dec-9510-b8fe4e7495f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dad4f6-1572-4b38-84f8-98a6803b10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7d851d99-7f7a-4f7c-904b-452809d5596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4aff37-ce57-4dec-9510-b8fe4e7495f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28c0132-6ae5-43cc-b21c-7766c0117a3c}" ma:internalName="TaxCatchAll" ma:showField="CatchAllData" ma:web="9e4aff37-ce57-4dec-9510-b8fe4e7495f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442521-C54F-46EC-8836-DACC2AB05CBB}">
  <ds:schemaRefs>
    <ds:schemaRef ds:uri="http://schemas.microsoft.com/office/2006/metadata/properties"/>
    <ds:schemaRef ds:uri="http://schemas.microsoft.com/office/infopath/2007/PartnerControls"/>
    <ds:schemaRef ds:uri="9e4aff37-ce57-4dec-9510-b8fe4e7495f5"/>
    <ds:schemaRef ds:uri="eadad4f6-1572-4b38-84f8-98a6803b10cd"/>
  </ds:schemaRefs>
</ds:datastoreItem>
</file>

<file path=customXml/itemProps2.xml><?xml version="1.0" encoding="utf-8"?>
<ds:datastoreItem xmlns:ds="http://schemas.openxmlformats.org/officeDocument/2006/customXml" ds:itemID="{130E29BC-2F31-4DFE-A576-E3EFF728E9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dad4f6-1572-4b38-84f8-98a6803b10cd"/>
    <ds:schemaRef ds:uri="9e4aff37-ce57-4dec-9510-b8fe4e7495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AC05E6-0CEE-4E1C-92A5-E823ED57813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5</vt:i4>
      </vt:variant>
    </vt:vector>
  </HeadingPairs>
  <TitlesOfParts>
    <vt:vector size="14" baseType="lpstr">
      <vt:lpstr>Menus déroulants</vt:lpstr>
      <vt:lpstr>Guide d'utilisation</vt:lpstr>
      <vt:lpstr>Périmètre</vt:lpstr>
      <vt:lpstr>Traçabilité et info patient</vt:lpstr>
      <vt:lpstr>Données patients</vt:lpstr>
      <vt:lpstr>Feuil1</vt:lpstr>
      <vt:lpstr>Données SI ES</vt:lpstr>
      <vt:lpstr>Données croisées</vt:lpstr>
      <vt:lpstr>Plan d'actions</vt:lpstr>
      <vt:lpstr>Tranche_âge</vt:lpstr>
      <vt:lpstr>'Données croisées'!Zone_d_impression</vt:lpstr>
      <vt:lpstr>'Données patients'!Zone_d_impression</vt:lpstr>
      <vt:lpstr>'Données SI ES'!Zone_d_impression</vt:lpstr>
      <vt:lpstr>'Guide d''utilisation'!Zone_d_impression</vt:lpstr>
    </vt:vector>
  </TitlesOfParts>
  <Manager/>
  <Company>CHU de NANTES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MASQUIN Helene</dc:creator>
  <cp:keywords/>
  <dc:description/>
  <cp:lastModifiedBy>CHACOU Melanie</cp:lastModifiedBy>
  <cp:revision/>
  <cp:lastPrinted>2025-09-23T09:45:33Z</cp:lastPrinted>
  <dcterms:created xsi:type="dcterms:W3CDTF">2019-06-18T08:29:21Z</dcterms:created>
  <dcterms:modified xsi:type="dcterms:W3CDTF">2025-10-13T14:45:31Z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0x01010052E6086BF8C8D84986FFDCFCDC10696B</vt:lpwstr>
  </property>
  <property fmtid="{D5CDD505-2E9C-101B-9397-08002B2CF9AE}" pid="3" name="MediaServiceImageTags">
    <vt:lpwstr/>
  </property>
</Properties>
</file>